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HMANKA\Dropbox\HPC 2022 Support\Funding GPC &amp; FTS - 2023\CONSOLIDATED\Final Datasets\2027 HPC Methodology\2026 FINAL TOOLs\"/>
    </mc:Choice>
  </mc:AlternateContent>
  <xr:revisionPtr revIDLastSave="0" documentId="8_{4125A5F9-6B87-4A45-8506-1CFD1DB1BB6A}" xr6:coauthVersionLast="47" xr6:coauthVersionMax="47" xr10:uidLastSave="{00000000-0000-0000-0000-000000000000}"/>
  <bookViews>
    <workbookView xWindow="-120" yWindow="-120" windowWidth="24240" windowHeight="13020" xr2:uid="{5FD1E938-9638-414A-A954-EA501F450C80}"/>
  </bookViews>
  <sheets>
    <sheet name="1. Matrix" sheetId="1" r:id="rId1"/>
    <sheet name="2. Lookup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V5" i="1" l="1"/>
  <c r="W5" i="1" s="1"/>
  <c r="V3" i="1"/>
  <c r="W3" i="1" s="1"/>
  <c r="P3" i="1"/>
  <c r="Q3" i="1" s="1"/>
  <c r="P4" i="1"/>
  <c r="P5" i="1"/>
  <c r="P6" i="1"/>
  <c r="P7" i="1"/>
  <c r="P8" i="1"/>
  <c r="P9" i="1"/>
  <c r="Q9" i="1" s="1"/>
  <c r="P10" i="1"/>
  <c r="Q10" i="1" s="1"/>
  <c r="P11" i="1"/>
  <c r="P12" i="1"/>
  <c r="P13" i="1"/>
  <c r="P14" i="1"/>
  <c r="P15" i="1"/>
  <c r="Q15" i="1" s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Q65" i="1" s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Q78" i="1" s="1"/>
  <c r="P79" i="1"/>
  <c r="Q79" i="1" s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Q94" i="1" s="1"/>
  <c r="P95" i="1"/>
  <c r="P96" i="1"/>
  <c r="P97" i="1"/>
  <c r="P98" i="1"/>
  <c r="P99" i="1"/>
  <c r="Q99" i="1" s="1"/>
  <c r="P100" i="1"/>
  <c r="P101" i="1"/>
  <c r="P102" i="1"/>
  <c r="P103" i="1"/>
  <c r="P104" i="1"/>
  <c r="P105" i="1"/>
  <c r="P106" i="1"/>
  <c r="P107" i="1"/>
  <c r="P108" i="1"/>
  <c r="Q108" i="1" s="1"/>
  <c r="P109" i="1"/>
  <c r="P110" i="1"/>
  <c r="P111" i="1"/>
  <c r="P112" i="1"/>
  <c r="P113" i="1"/>
  <c r="Q113" i="1" s="1"/>
  <c r="P114" i="1"/>
  <c r="P115" i="1"/>
  <c r="P116" i="1"/>
  <c r="P117" i="1"/>
  <c r="P118" i="1"/>
  <c r="P119" i="1"/>
  <c r="P120" i="1"/>
  <c r="P121" i="1"/>
  <c r="P122" i="1"/>
  <c r="Q122" i="1" s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Q135" i="1" s="1"/>
  <c r="P136" i="1"/>
  <c r="P137" i="1"/>
  <c r="P138" i="1"/>
  <c r="P139" i="1"/>
  <c r="P140" i="1"/>
  <c r="P141" i="1"/>
  <c r="Q141" i="1" s="1"/>
  <c r="P142" i="1"/>
  <c r="Q142" i="1" s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Q163" i="1" s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Q176" i="1" s="1"/>
  <c r="P177" i="1"/>
  <c r="Q177" i="1" s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V4" i="1"/>
  <c r="W4" i="1" s="1"/>
  <c r="V6" i="1"/>
  <c r="W6" i="1" s="1"/>
  <c r="V7" i="1"/>
  <c r="W7" i="1" s="1"/>
  <c r="V8" i="1"/>
  <c r="W8" i="1" s="1"/>
  <c r="V9" i="1"/>
  <c r="W9" i="1" s="1"/>
  <c r="V10" i="1"/>
  <c r="W10" i="1" s="1"/>
  <c r="V11" i="1"/>
  <c r="W11" i="1" s="1"/>
  <c r="V12" i="1"/>
  <c r="W12" i="1" s="1"/>
  <c r="V13" i="1"/>
  <c r="W13" i="1" s="1"/>
  <c r="V14" i="1"/>
  <c r="W14" i="1" s="1"/>
  <c r="V15" i="1"/>
  <c r="W15" i="1" s="1"/>
  <c r="V16" i="1"/>
  <c r="W16" i="1" s="1"/>
  <c r="V17" i="1"/>
  <c r="W17" i="1" s="1"/>
  <c r="V18" i="1"/>
  <c r="W18" i="1" s="1"/>
  <c r="V19" i="1"/>
  <c r="W19" i="1" s="1"/>
  <c r="V20" i="1"/>
  <c r="W20" i="1" s="1"/>
  <c r="V21" i="1"/>
  <c r="W21" i="1" s="1"/>
  <c r="V22" i="1"/>
  <c r="W22" i="1" s="1"/>
  <c r="V23" i="1"/>
  <c r="W23" i="1" s="1"/>
  <c r="V24" i="1"/>
  <c r="W24" i="1" s="1"/>
  <c r="V25" i="1"/>
  <c r="W25" i="1" s="1"/>
  <c r="V26" i="1"/>
  <c r="W26" i="1" s="1"/>
  <c r="V27" i="1"/>
  <c r="W27" i="1" s="1"/>
  <c r="V28" i="1"/>
  <c r="W28" i="1" s="1"/>
  <c r="V29" i="1"/>
  <c r="W29" i="1" s="1"/>
  <c r="V30" i="1"/>
  <c r="W30" i="1" s="1"/>
  <c r="V31" i="1"/>
  <c r="W31" i="1" s="1"/>
  <c r="V32" i="1"/>
  <c r="W32" i="1" s="1"/>
  <c r="V33" i="1"/>
  <c r="W33" i="1" s="1"/>
  <c r="V34" i="1"/>
  <c r="W34" i="1" s="1"/>
  <c r="V35" i="1"/>
  <c r="W35" i="1" s="1"/>
  <c r="V36" i="1"/>
  <c r="W36" i="1" s="1"/>
  <c r="V37" i="1"/>
  <c r="W37" i="1" s="1"/>
  <c r="V38" i="1"/>
  <c r="W38" i="1" s="1"/>
  <c r="V39" i="1"/>
  <c r="W39" i="1" s="1"/>
  <c r="V40" i="1"/>
  <c r="W40" i="1" s="1"/>
  <c r="V41" i="1"/>
  <c r="W41" i="1" s="1"/>
  <c r="V42" i="1"/>
  <c r="W42" i="1" s="1"/>
  <c r="V43" i="1"/>
  <c r="W43" i="1" s="1"/>
  <c r="V44" i="1"/>
  <c r="W44" i="1" s="1"/>
  <c r="V45" i="1"/>
  <c r="W45" i="1" s="1"/>
  <c r="V46" i="1"/>
  <c r="W46" i="1" s="1"/>
  <c r="V47" i="1"/>
  <c r="W47" i="1" s="1"/>
  <c r="V48" i="1"/>
  <c r="W48" i="1" s="1"/>
  <c r="V49" i="1"/>
  <c r="W49" i="1" s="1"/>
  <c r="V50" i="1"/>
  <c r="W50" i="1" s="1"/>
  <c r="V51" i="1"/>
  <c r="W51" i="1" s="1"/>
  <c r="V52" i="1"/>
  <c r="W52" i="1" s="1"/>
  <c r="V53" i="1"/>
  <c r="W53" i="1" s="1"/>
  <c r="V54" i="1"/>
  <c r="W54" i="1" s="1"/>
  <c r="V55" i="1"/>
  <c r="W55" i="1" s="1"/>
  <c r="V56" i="1"/>
  <c r="W56" i="1" s="1"/>
  <c r="V57" i="1"/>
  <c r="W57" i="1" s="1"/>
  <c r="V58" i="1"/>
  <c r="W58" i="1" s="1"/>
  <c r="V59" i="1"/>
  <c r="W59" i="1" s="1"/>
  <c r="V60" i="1"/>
  <c r="W60" i="1" s="1"/>
  <c r="V61" i="1"/>
  <c r="W61" i="1" s="1"/>
  <c r="V62" i="1"/>
  <c r="W62" i="1" s="1"/>
  <c r="V63" i="1"/>
  <c r="W63" i="1" s="1"/>
  <c r="V64" i="1"/>
  <c r="W64" i="1" s="1"/>
  <c r="V65" i="1"/>
  <c r="W65" i="1" s="1"/>
  <c r="V66" i="1"/>
  <c r="W66" i="1" s="1"/>
  <c r="V67" i="1"/>
  <c r="W67" i="1" s="1"/>
  <c r="V68" i="1"/>
  <c r="W68" i="1" s="1"/>
  <c r="V69" i="1"/>
  <c r="W69" i="1" s="1"/>
  <c r="V70" i="1"/>
  <c r="W70" i="1" s="1"/>
  <c r="V71" i="1"/>
  <c r="W71" i="1" s="1"/>
  <c r="V72" i="1"/>
  <c r="W72" i="1" s="1"/>
  <c r="V73" i="1"/>
  <c r="W73" i="1" s="1"/>
  <c r="V74" i="1"/>
  <c r="W74" i="1" s="1"/>
  <c r="V75" i="1"/>
  <c r="W75" i="1" s="1"/>
  <c r="V76" i="1"/>
  <c r="W76" i="1" s="1"/>
  <c r="V77" i="1"/>
  <c r="W77" i="1" s="1"/>
  <c r="V78" i="1"/>
  <c r="W78" i="1" s="1"/>
  <c r="V79" i="1"/>
  <c r="W79" i="1" s="1"/>
  <c r="V80" i="1"/>
  <c r="W80" i="1" s="1"/>
  <c r="V81" i="1"/>
  <c r="W81" i="1" s="1"/>
  <c r="V82" i="1"/>
  <c r="W82" i="1" s="1"/>
  <c r="V83" i="1"/>
  <c r="W83" i="1" s="1"/>
  <c r="V84" i="1"/>
  <c r="W84" i="1" s="1"/>
  <c r="V85" i="1"/>
  <c r="W85" i="1" s="1"/>
  <c r="V86" i="1"/>
  <c r="W86" i="1" s="1"/>
  <c r="V87" i="1"/>
  <c r="W87" i="1" s="1"/>
  <c r="V88" i="1"/>
  <c r="W88" i="1" s="1"/>
  <c r="V89" i="1"/>
  <c r="W89" i="1" s="1"/>
  <c r="V90" i="1"/>
  <c r="W90" i="1" s="1"/>
  <c r="V91" i="1"/>
  <c r="W91" i="1" s="1"/>
  <c r="V92" i="1"/>
  <c r="W92" i="1" s="1"/>
  <c r="V93" i="1"/>
  <c r="W93" i="1" s="1"/>
  <c r="V94" i="1"/>
  <c r="W94" i="1" s="1"/>
  <c r="V95" i="1"/>
  <c r="W95" i="1" s="1"/>
  <c r="V96" i="1"/>
  <c r="W96" i="1" s="1"/>
  <c r="V97" i="1"/>
  <c r="W97" i="1" s="1"/>
  <c r="V98" i="1"/>
  <c r="W98" i="1" s="1"/>
  <c r="V99" i="1"/>
  <c r="W99" i="1" s="1"/>
  <c r="V100" i="1"/>
  <c r="W100" i="1" s="1"/>
  <c r="V101" i="1"/>
  <c r="W101" i="1" s="1"/>
  <c r="V102" i="1"/>
  <c r="W102" i="1" s="1"/>
  <c r="V103" i="1"/>
  <c r="W103" i="1" s="1"/>
  <c r="V104" i="1"/>
  <c r="W104" i="1" s="1"/>
  <c r="V105" i="1"/>
  <c r="W105" i="1" s="1"/>
  <c r="V106" i="1"/>
  <c r="W106" i="1" s="1"/>
  <c r="V107" i="1"/>
  <c r="W107" i="1" s="1"/>
  <c r="V108" i="1"/>
  <c r="W108" i="1" s="1"/>
  <c r="V109" i="1"/>
  <c r="W109" i="1" s="1"/>
  <c r="V110" i="1"/>
  <c r="W110" i="1" s="1"/>
  <c r="V111" i="1"/>
  <c r="W111" i="1" s="1"/>
  <c r="V112" i="1"/>
  <c r="W112" i="1" s="1"/>
  <c r="V113" i="1"/>
  <c r="W113" i="1" s="1"/>
  <c r="V114" i="1"/>
  <c r="W114" i="1" s="1"/>
  <c r="V115" i="1"/>
  <c r="W115" i="1" s="1"/>
  <c r="V116" i="1"/>
  <c r="W116" i="1" s="1"/>
  <c r="V117" i="1"/>
  <c r="W117" i="1" s="1"/>
  <c r="V118" i="1"/>
  <c r="W118" i="1" s="1"/>
  <c r="V119" i="1"/>
  <c r="W119" i="1" s="1"/>
  <c r="V120" i="1"/>
  <c r="W120" i="1" s="1"/>
  <c r="V121" i="1"/>
  <c r="W121" i="1" s="1"/>
  <c r="V122" i="1"/>
  <c r="W122" i="1" s="1"/>
  <c r="V123" i="1"/>
  <c r="W123" i="1" s="1"/>
  <c r="V124" i="1"/>
  <c r="W124" i="1" s="1"/>
  <c r="V125" i="1"/>
  <c r="W125" i="1" s="1"/>
  <c r="V126" i="1"/>
  <c r="W126" i="1" s="1"/>
  <c r="V127" i="1"/>
  <c r="W127" i="1" s="1"/>
  <c r="V128" i="1"/>
  <c r="W128" i="1" s="1"/>
  <c r="V129" i="1"/>
  <c r="W129" i="1" s="1"/>
  <c r="V130" i="1"/>
  <c r="W130" i="1" s="1"/>
  <c r="V131" i="1"/>
  <c r="W131" i="1" s="1"/>
  <c r="V132" i="1"/>
  <c r="W132" i="1" s="1"/>
  <c r="V133" i="1"/>
  <c r="W133" i="1" s="1"/>
  <c r="V134" i="1"/>
  <c r="W134" i="1" s="1"/>
  <c r="V135" i="1"/>
  <c r="W135" i="1" s="1"/>
  <c r="V136" i="1"/>
  <c r="W136" i="1" s="1"/>
  <c r="V137" i="1"/>
  <c r="W137" i="1" s="1"/>
  <c r="V138" i="1"/>
  <c r="W138" i="1" s="1"/>
  <c r="V139" i="1"/>
  <c r="W139" i="1" s="1"/>
  <c r="V140" i="1"/>
  <c r="W140" i="1" s="1"/>
  <c r="V141" i="1"/>
  <c r="W141" i="1" s="1"/>
  <c r="V142" i="1"/>
  <c r="W142" i="1" s="1"/>
  <c r="V143" i="1"/>
  <c r="W143" i="1" s="1"/>
  <c r="V144" i="1"/>
  <c r="W144" i="1" s="1"/>
  <c r="V145" i="1"/>
  <c r="W145" i="1" s="1"/>
  <c r="V146" i="1"/>
  <c r="W146" i="1" s="1"/>
  <c r="V147" i="1"/>
  <c r="W147" i="1" s="1"/>
  <c r="V148" i="1"/>
  <c r="W148" i="1" s="1"/>
  <c r="V149" i="1"/>
  <c r="W149" i="1" s="1"/>
  <c r="V150" i="1"/>
  <c r="W150" i="1" s="1"/>
  <c r="V151" i="1"/>
  <c r="W151" i="1" s="1"/>
  <c r="V152" i="1"/>
  <c r="W152" i="1" s="1"/>
  <c r="V153" i="1"/>
  <c r="W153" i="1" s="1"/>
  <c r="V154" i="1"/>
  <c r="W154" i="1" s="1"/>
  <c r="V155" i="1"/>
  <c r="W155" i="1" s="1"/>
  <c r="V156" i="1"/>
  <c r="W156" i="1" s="1"/>
  <c r="V157" i="1"/>
  <c r="W157" i="1" s="1"/>
  <c r="V158" i="1"/>
  <c r="W158" i="1" s="1"/>
  <c r="V159" i="1"/>
  <c r="W159" i="1" s="1"/>
  <c r="V160" i="1"/>
  <c r="W160" i="1" s="1"/>
  <c r="V161" i="1"/>
  <c r="W161" i="1" s="1"/>
  <c r="V162" i="1"/>
  <c r="W162" i="1" s="1"/>
  <c r="V163" i="1"/>
  <c r="W163" i="1" s="1"/>
  <c r="V164" i="1"/>
  <c r="W164" i="1" s="1"/>
  <c r="V165" i="1"/>
  <c r="W165" i="1" s="1"/>
  <c r="V166" i="1"/>
  <c r="W166" i="1" s="1"/>
  <c r="V167" i="1"/>
  <c r="W167" i="1" s="1"/>
  <c r="V168" i="1"/>
  <c r="W168" i="1" s="1"/>
  <c r="V169" i="1"/>
  <c r="W169" i="1" s="1"/>
  <c r="V170" i="1"/>
  <c r="W170" i="1" s="1"/>
  <c r="V171" i="1"/>
  <c r="W171" i="1" s="1"/>
  <c r="V172" i="1"/>
  <c r="W172" i="1" s="1"/>
  <c r="V173" i="1"/>
  <c r="W173" i="1" s="1"/>
  <c r="V174" i="1"/>
  <c r="W174" i="1" s="1"/>
  <c r="V175" i="1"/>
  <c r="W175" i="1" s="1"/>
  <c r="V176" i="1"/>
  <c r="W176" i="1" s="1"/>
  <c r="V177" i="1"/>
  <c r="W177" i="1" s="1"/>
  <c r="V178" i="1"/>
  <c r="W178" i="1" s="1"/>
  <c r="V179" i="1"/>
  <c r="W179" i="1" s="1"/>
  <c r="V180" i="1"/>
  <c r="W180" i="1" s="1"/>
  <c r="V181" i="1"/>
  <c r="W181" i="1" s="1"/>
  <c r="V182" i="1"/>
  <c r="W182" i="1" s="1"/>
  <c r="V183" i="1"/>
  <c r="W183" i="1" s="1"/>
  <c r="V184" i="1"/>
  <c r="W184" i="1" s="1"/>
  <c r="V185" i="1"/>
  <c r="W185" i="1" s="1"/>
  <c r="V186" i="1"/>
  <c r="W186" i="1" s="1"/>
  <c r="V187" i="1"/>
  <c r="W187" i="1" s="1"/>
  <c r="V188" i="1"/>
  <c r="W188" i="1" s="1"/>
  <c r="V189" i="1"/>
  <c r="W189" i="1" s="1"/>
  <c r="V190" i="1"/>
  <c r="W190" i="1" s="1"/>
  <c r="X142" i="1" l="1"/>
  <c r="Y142" i="1" s="1"/>
  <c r="X141" i="1"/>
  <c r="Y141" i="1" s="1"/>
  <c r="X113" i="1"/>
  <c r="Y113" i="1" s="1"/>
  <c r="X99" i="1"/>
  <c r="Y99" i="1" s="1"/>
  <c r="X15" i="1"/>
  <c r="Y15" i="1" s="1"/>
  <c r="X108" i="1"/>
  <c r="X10" i="1"/>
  <c r="X94" i="1"/>
  <c r="X135" i="1"/>
  <c r="Y135" i="1" s="1"/>
  <c r="X177" i="1"/>
  <c r="Y177" i="1" s="1"/>
  <c r="X122" i="1"/>
  <c r="Y122" i="1" s="1"/>
  <c r="X163" i="1"/>
  <c r="Y163" i="1" s="1"/>
  <c r="X79" i="1"/>
  <c r="Y79" i="1" s="1"/>
  <c r="X65" i="1"/>
  <c r="Y65" i="1" s="1"/>
  <c r="X9" i="1"/>
  <c r="Y9" i="1" s="1"/>
  <c r="X176" i="1"/>
  <c r="Y176" i="1" s="1"/>
  <c r="X78" i="1"/>
  <c r="Y78" i="1" s="1"/>
  <c r="X3" i="1"/>
  <c r="Y3" i="1" s="1"/>
  <c r="Q43" i="1"/>
  <c r="X43" i="1" s="1"/>
  <c r="Q44" i="1"/>
  <c r="X44" i="1" s="1"/>
  <c r="Q170" i="1"/>
  <c r="X170" i="1" s="1"/>
  <c r="Q72" i="1"/>
  <c r="X72" i="1" s="1"/>
  <c r="Q38" i="1"/>
  <c r="X38" i="1" s="1"/>
  <c r="Q136" i="1"/>
  <c r="X136" i="1" s="1"/>
  <c r="Q37" i="1"/>
  <c r="X37" i="1" s="1"/>
  <c r="Q24" i="1"/>
  <c r="X24" i="1" s="1"/>
  <c r="Q107" i="1"/>
  <c r="X107" i="1" s="1"/>
  <c r="Q8" i="1"/>
  <c r="X8" i="1" s="1"/>
  <c r="Q162" i="1"/>
  <c r="X162" i="1" s="1"/>
  <c r="Q128" i="1"/>
  <c r="X128" i="1" s="1"/>
  <c r="Q64" i="1"/>
  <c r="X64" i="1" s="1"/>
  <c r="Q30" i="1"/>
  <c r="X30" i="1" s="1"/>
  <c r="Q161" i="1"/>
  <c r="X161" i="1" s="1"/>
  <c r="Q127" i="1"/>
  <c r="X127" i="1" s="1"/>
  <c r="Q93" i="1"/>
  <c r="X93" i="1" s="1"/>
  <c r="Q63" i="1"/>
  <c r="X63" i="1" s="1"/>
  <c r="Q29" i="1"/>
  <c r="Q35" i="1"/>
  <c r="X35" i="1" s="1"/>
  <c r="Q92" i="1"/>
  <c r="X92" i="1" s="1"/>
  <c r="Q189" i="1"/>
  <c r="X189" i="1" s="1"/>
  <c r="Q155" i="1"/>
  <c r="Q121" i="1"/>
  <c r="X121" i="1" s="1"/>
  <c r="Q91" i="1"/>
  <c r="X91" i="1" s="1"/>
  <c r="Q57" i="1"/>
  <c r="X57" i="1" s="1"/>
  <c r="Q23" i="1"/>
  <c r="X23" i="1" s="1"/>
  <c r="Q156" i="1"/>
  <c r="X156" i="1" s="1"/>
  <c r="Q184" i="1"/>
  <c r="X184" i="1" s="1"/>
  <c r="Q150" i="1"/>
  <c r="X150" i="1" s="1"/>
  <c r="Q120" i="1"/>
  <c r="X120" i="1" s="1"/>
  <c r="Q86" i="1"/>
  <c r="X86" i="1" s="1"/>
  <c r="Q52" i="1"/>
  <c r="X52" i="1" s="1"/>
  <c r="Q22" i="1"/>
  <c r="X22" i="1" s="1"/>
  <c r="Q133" i="1"/>
  <c r="X133" i="1" s="1"/>
  <c r="Q190" i="1"/>
  <c r="X190" i="1" s="1"/>
  <c r="Q58" i="1"/>
  <c r="Q183" i="1"/>
  <c r="X183" i="1" s="1"/>
  <c r="Q149" i="1"/>
  <c r="X149" i="1" s="1"/>
  <c r="Q119" i="1"/>
  <c r="X119" i="1" s="1"/>
  <c r="Q85" i="1"/>
  <c r="X85" i="1" s="1"/>
  <c r="Q51" i="1"/>
  <c r="X51" i="1" s="1"/>
  <c r="Q21" i="1"/>
  <c r="X21" i="1" s="1"/>
  <c r="Q106" i="1"/>
  <c r="X106" i="1" s="1"/>
  <c r="Q178" i="1"/>
  <c r="X178" i="1" s="1"/>
  <c r="Q148" i="1"/>
  <c r="X148" i="1" s="1"/>
  <c r="Q114" i="1"/>
  <c r="Q80" i="1"/>
  <c r="X80" i="1" s="1"/>
  <c r="Q50" i="1"/>
  <c r="X50" i="1" s="1"/>
  <c r="Q16" i="1"/>
  <c r="X16" i="1" s="1"/>
  <c r="Q147" i="1"/>
  <c r="X147" i="1" s="1"/>
  <c r="Q49" i="1"/>
  <c r="X49" i="1" s="1"/>
  <c r="Q175" i="1"/>
  <c r="X175" i="1" s="1"/>
  <c r="Q77" i="1"/>
  <c r="X77" i="1" s="1"/>
  <c r="Q169" i="1"/>
  <c r="X169" i="1" s="1"/>
  <c r="Q105" i="1"/>
  <c r="X105" i="1" s="1"/>
  <c r="Q71" i="1"/>
  <c r="X71" i="1" s="1"/>
  <c r="Q7" i="1"/>
  <c r="X7" i="1" s="1"/>
  <c r="Q164" i="1"/>
  <c r="X164" i="1" s="1"/>
  <c r="Q134" i="1"/>
  <c r="X134" i="1" s="1"/>
  <c r="Q100" i="1"/>
  <c r="Q66" i="1"/>
  <c r="X66" i="1" s="1"/>
  <c r="Q36" i="1"/>
  <c r="X36" i="1" s="1"/>
  <c r="Q182" i="1"/>
  <c r="X182" i="1" s="1"/>
  <c r="Q154" i="1"/>
  <c r="X154" i="1" s="1"/>
  <c r="Q98" i="1"/>
  <c r="X98" i="1" s="1"/>
  <c r="Q14" i="1"/>
  <c r="X14" i="1" s="1"/>
  <c r="Q181" i="1"/>
  <c r="X181" i="1" s="1"/>
  <c r="Q167" i="1"/>
  <c r="X167" i="1" s="1"/>
  <c r="Q153" i="1"/>
  <c r="X153" i="1" s="1"/>
  <c r="Q139" i="1"/>
  <c r="X139" i="1" s="1"/>
  <c r="Q125" i="1"/>
  <c r="X125" i="1" s="1"/>
  <c r="Q111" i="1"/>
  <c r="X111" i="1" s="1"/>
  <c r="Q97" i="1"/>
  <c r="X97" i="1" s="1"/>
  <c r="Q83" i="1"/>
  <c r="X83" i="1" s="1"/>
  <c r="Q69" i="1"/>
  <c r="X69" i="1" s="1"/>
  <c r="Q55" i="1"/>
  <c r="X55" i="1" s="1"/>
  <c r="Q41" i="1"/>
  <c r="X41" i="1" s="1"/>
  <c r="Q27" i="1"/>
  <c r="X27" i="1" s="1"/>
  <c r="Q13" i="1"/>
  <c r="X13" i="1" s="1"/>
  <c r="Q168" i="1"/>
  <c r="X168" i="1" s="1"/>
  <c r="Q126" i="1"/>
  <c r="X126" i="1" s="1"/>
  <c r="Q84" i="1"/>
  <c r="X84" i="1" s="1"/>
  <c r="Q70" i="1"/>
  <c r="X70" i="1" s="1"/>
  <c r="Q56" i="1"/>
  <c r="X56" i="1" s="1"/>
  <c r="Q28" i="1"/>
  <c r="X28" i="1" s="1"/>
  <c r="Q180" i="1"/>
  <c r="X180" i="1" s="1"/>
  <c r="Q166" i="1"/>
  <c r="X166" i="1" s="1"/>
  <c r="Q152" i="1"/>
  <c r="X152" i="1" s="1"/>
  <c r="Q138" i="1"/>
  <c r="X138" i="1" s="1"/>
  <c r="Q124" i="1"/>
  <c r="X124" i="1" s="1"/>
  <c r="Q110" i="1"/>
  <c r="X110" i="1" s="1"/>
  <c r="Q96" i="1"/>
  <c r="X96" i="1" s="1"/>
  <c r="Q82" i="1"/>
  <c r="X82" i="1" s="1"/>
  <c r="Q68" i="1"/>
  <c r="X68" i="1" s="1"/>
  <c r="Q54" i="1"/>
  <c r="X54" i="1" s="1"/>
  <c r="Q40" i="1"/>
  <c r="X40" i="1" s="1"/>
  <c r="Q26" i="1"/>
  <c r="X26" i="1" s="1"/>
  <c r="Q12" i="1"/>
  <c r="X12" i="1" s="1"/>
  <c r="Q140" i="1"/>
  <c r="X140" i="1" s="1"/>
  <c r="Q112" i="1"/>
  <c r="X112" i="1" s="1"/>
  <c r="Q42" i="1"/>
  <c r="X42" i="1" s="1"/>
  <c r="Q179" i="1"/>
  <c r="X179" i="1" s="1"/>
  <c r="Q165" i="1"/>
  <c r="X165" i="1" s="1"/>
  <c r="Q151" i="1"/>
  <c r="X151" i="1" s="1"/>
  <c r="Q137" i="1"/>
  <c r="X137" i="1" s="1"/>
  <c r="Q123" i="1"/>
  <c r="X123" i="1" s="1"/>
  <c r="Q109" i="1"/>
  <c r="X109" i="1" s="1"/>
  <c r="Q95" i="1"/>
  <c r="X95" i="1" s="1"/>
  <c r="Q81" i="1"/>
  <c r="X81" i="1" s="1"/>
  <c r="Q67" i="1"/>
  <c r="X67" i="1" s="1"/>
  <c r="Q53" i="1"/>
  <c r="X53" i="1" s="1"/>
  <c r="Q39" i="1"/>
  <c r="X39" i="1" s="1"/>
  <c r="Q25" i="1"/>
  <c r="X25" i="1" s="1"/>
  <c r="Q11" i="1"/>
  <c r="X11" i="1" s="1"/>
  <c r="Q188" i="1"/>
  <c r="X188" i="1" s="1"/>
  <c r="Q174" i="1"/>
  <c r="X174" i="1" s="1"/>
  <c r="Q160" i="1"/>
  <c r="X160" i="1" s="1"/>
  <c r="Q146" i="1"/>
  <c r="X146" i="1" s="1"/>
  <c r="Q132" i="1"/>
  <c r="X132" i="1" s="1"/>
  <c r="Q118" i="1"/>
  <c r="Q104" i="1"/>
  <c r="X104" i="1" s="1"/>
  <c r="Q90" i="1"/>
  <c r="X90" i="1" s="1"/>
  <c r="Q76" i="1"/>
  <c r="X76" i="1" s="1"/>
  <c r="Q62" i="1"/>
  <c r="X62" i="1" s="1"/>
  <c r="Q48" i="1"/>
  <c r="X48" i="1" s="1"/>
  <c r="Q34" i="1"/>
  <c r="X34" i="1" s="1"/>
  <c r="Q20" i="1"/>
  <c r="X20" i="1" s="1"/>
  <c r="Q6" i="1"/>
  <c r="X6" i="1" s="1"/>
  <c r="Q187" i="1"/>
  <c r="X187" i="1" s="1"/>
  <c r="Q173" i="1"/>
  <c r="X173" i="1" s="1"/>
  <c r="Q159" i="1"/>
  <c r="X159" i="1" s="1"/>
  <c r="Q145" i="1"/>
  <c r="X145" i="1" s="1"/>
  <c r="Q131" i="1"/>
  <c r="Q117" i="1"/>
  <c r="Q103" i="1"/>
  <c r="Q89" i="1"/>
  <c r="X89" i="1" s="1"/>
  <c r="Q75" i="1"/>
  <c r="X75" i="1" s="1"/>
  <c r="Q61" i="1"/>
  <c r="X61" i="1" s="1"/>
  <c r="Q47" i="1"/>
  <c r="X47" i="1" s="1"/>
  <c r="Q33" i="1"/>
  <c r="X33" i="1" s="1"/>
  <c r="Q19" i="1"/>
  <c r="X19" i="1" s="1"/>
  <c r="Q5" i="1"/>
  <c r="X5" i="1" s="1"/>
  <c r="Q172" i="1"/>
  <c r="X172" i="1" s="1"/>
  <c r="Q144" i="1"/>
  <c r="X144" i="1" s="1"/>
  <c r="Q116" i="1"/>
  <c r="X116" i="1" s="1"/>
  <c r="Q102" i="1"/>
  <c r="Q88" i="1"/>
  <c r="Q74" i="1"/>
  <c r="Q60" i="1"/>
  <c r="Q46" i="1"/>
  <c r="X46" i="1" s="1"/>
  <c r="Q32" i="1"/>
  <c r="X32" i="1" s="1"/>
  <c r="Q4" i="1"/>
  <c r="X4" i="1" s="1"/>
  <c r="Q186" i="1"/>
  <c r="X186" i="1" s="1"/>
  <c r="Q158" i="1"/>
  <c r="X158" i="1" s="1"/>
  <c r="Q130" i="1"/>
  <c r="X130" i="1" s="1"/>
  <c r="Q18" i="1"/>
  <c r="X18" i="1" s="1"/>
  <c r="Q185" i="1"/>
  <c r="X185" i="1" s="1"/>
  <c r="Q171" i="1"/>
  <c r="X171" i="1" s="1"/>
  <c r="Q157" i="1"/>
  <c r="X157" i="1" s="1"/>
  <c r="Q143" i="1"/>
  <c r="X143" i="1" s="1"/>
  <c r="Q129" i="1"/>
  <c r="X129" i="1" s="1"/>
  <c r="Q115" i="1"/>
  <c r="X115" i="1" s="1"/>
  <c r="Q101" i="1"/>
  <c r="Q87" i="1"/>
  <c r="X87" i="1" s="1"/>
  <c r="Q73" i="1"/>
  <c r="X73" i="1" s="1"/>
  <c r="Q59" i="1"/>
  <c r="X59" i="1" s="1"/>
  <c r="Q45" i="1"/>
  <c r="X45" i="1" s="1"/>
  <c r="Q31" i="1"/>
  <c r="X31" i="1" s="1"/>
  <c r="Q17" i="1"/>
  <c r="X17" i="1" s="1"/>
  <c r="Y10" i="1"/>
  <c r="Y94" i="1"/>
  <c r="Y108" i="1"/>
  <c r="X101" i="1" l="1"/>
  <c r="Y101" i="1" s="1"/>
  <c r="X103" i="1"/>
  <c r="Y103" i="1" s="1"/>
  <c r="X155" i="1"/>
  <c r="Y155" i="1" s="1"/>
  <c r="X88" i="1"/>
  <c r="Y88" i="1" s="1"/>
  <c r="X131" i="1"/>
  <c r="Y131" i="1" s="1"/>
  <c r="X60" i="1"/>
  <c r="Y60" i="1" s="1"/>
  <c r="X74" i="1"/>
  <c r="Y74" i="1" s="1"/>
  <c r="X117" i="1"/>
  <c r="Y117" i="1" s="1"/>
  <c r="X118" i="1"/>
  <c r="Y118" i="1" s="1"/>
  <c r="X58" i="1"/>
  <c r="Y58" i="1" s="1"/>
  <c r="X102" i="1"/>
  <c r="Y102" i="1" s="1"/>
  <c r="X29" i="1"/>
  <c r="Y29" i="1" s="1"/>
  <c r="X100" i="1"/>
  <c r="Y100" i="1" s="1"/>
  <c r="X114" i="1"/>
  <c r="Y114" i="1" s="1"/>
  <c r="Y104" i="1"/>
  <c r="Y49" i="1"/>
  <c r="Y183" i="1"/>
  <c r="Y125" i="1"/>
  <c r="Y150" i="1"/>
  <c r="Y170" i="1"/>
  <c r="Y53" i="1"/>
  <c r="Y51" i="1"/>
  <c r="Y23" i="1"/>
  <c r="Y70" i="1"/>
  <c r="Y179" i="1"/>
  <c r="Y83" i="1"/>
  <c r="Y152" i="1"/>
  <c r="Y52" i="1"/>
  <c r="Y38" i="1"/>
  <c r="Y42" i="1"/>
  <c r="Y97" i="1"/>
  <c r="Y11" i="1"/>
  <c r="Y112" i="1"/>
  <c r="Y111" i="1"/>
  <c r="Y164" i="1"/>
  <c r="Y178" i="1"/>
  <c r="Y93" i="1"/>
  <c r="Y153" i="1"/>
  <c r="Y167" i="1"/>
  <c r="Y109" i="1"/>
  <c r="Y82" i="1"/>
  <c r="Y13" i="1"/>
  <c r="Y98" i="1"/>
  <c r="Y121" i="1"/>
  <c r="Y115" i="1"/>
  <c r="Y123" i="1"/>
  <c r="Y96" i="1"/>
  <c r="Y27" i="1"/>
  <c r="Y154" i="1"/>
  <c r="Y107" i="1"/>
  <c r="Y129" i="1"/>
  <c r="Y137" i="1"/>
  <c r="Y110" i="1"/>
  <c r="Y41" i="1"/>
  <c r="Y182" i="1"/>
  <c r="Y16" i="1"/>
  <c r="Y24" i="1"/>
  <c r="Y143" i="1"/>
  <c r="Y151" i="1"/>
  <c r="Y124" i="1"/>
  <c r="Y55" i="1"/>
  <c r="Y37" i="1"/>
  <c r="Y157" i="1"/>
  <c r="Y165" i="1"/>
  <c r="Y138" i="1"/>
  <c r="Y69" i="1"/>
  <c r="Y66" i="1"/>
  <c r="Y80" i="1"/>
  <c r="Y136" i="1"/>
  <c r="Y132" i="1"/>
  <c r="Y174" i="1"/>
  <c r="Y185" i="1"/>
  <c r="Y172" i="1"/>
  <c r="Y187" i="1"/>
  <c r="Y188" i="1"/>
  <c r="Y166" i="1"/>
  <c r="Y134" i="1"/>
  <c r="Y148" i="1"/>
  <c r="Y86" i="1"/>
  <c r="Y63" i="1"/>
  <c r="Y146" i="1"/>
  <c r="Y36" i="1"/>
  <c r="Y159" i="1"/>
  <c r="Y22" i="1"/>
  <c r="Y5" i="1"/>
  <c r="Y180" i="1"/>
  <c r="Y120" i="1"/>
  <c r="Y130" i="1"/>
  <c r="Y20" i="1"/>
  <c r="Y140" i="1"/>
  <c r="Y106" i="1"/>
  <c r="Y127" i="1"/>
  <c r="Y189" i="1"/>
  <c r="Y92" i="1"/>
  <c r="Y160" i="1"/>
  <c r="Y144" i="1"/>
  <c r="Y18" i="1"/>
  <c r="Y6" i="1"/>
  <c r="Y17" i="1"/>
  <c r="Y19" i="1"/>
  <c r="Y25" i="1"/>
  <c r="Y28" i="1"/>
  <c r="Y7" i="1"/>
  <c r="Y31" i="1"/>
  <c r="Y158" i="1"/>
  <c r="Y33" i="1"/>
  <c r="Y34" i="1"/>
  <c r="Y39" i="1"/>
  <c r="Y12" i="1"/>
  <c r="Y56" i="1"/>
  <c r="Y139" i="1"/>
  <c r="Y71" i="1"/>
  <c r="Y21" i="1"/>
  <c r="Y184" i="1"/>
  <c r="Y161" i="1"/>
  <c r="Y145" i="1"/>
  <c r="Y50" i="1"/>
  <c r="Y35" i="1"/>
  <c r="Y45" i="1"/>
  <c r="Y30" i="1"/>
  <c r="Y61" i="1"/>
  <c r="Y43" i="1"/>
  <c r="Y147" i="1"/>
  <c r="Y190" i="1"/>
  <c r="Y133" i="1"/>
  <c r="Y116" i="1"/>
  <c r="Y171" i="1"/>
  <c r="Y47" i="1"/>
  <c r="Y4" i="1"/>
  <c r="Y67" i="1"/>
  <c r="Y169" i="1"/>
  <c r="Y64" i="1"/>
  <c r="Y73" i="1"/>
  <c r="Y76" i="1"/>
  <c r="Y54" i="1"/>
  <c r="Y181" i="1"/>
  <c r="Y77" i="1"/>
  <c r="Y119" i="1"/>
  <c r="Y57" i="1"/>
  <c r="Y128" i="1"/>
  <c r="Y8" i="1"/>
  <c r="Y173" i="1"/>
  <c r="Y186" i="1"/>
  <c r="Y48" i="1"/>
  <c r="Y26" i="1"/>
  <c r="Y105" i="1"/>
  <c r="Y156" i="1"/>
  <c r="Y44" i="1"/>
  <c r="Y59" i="1"/>
  <c r="Y62" i="1"/>
  <c r="Y40" i="1"/>
  <c r="Y84" i="1"/>
  <c r="Y85" i="1"/>
  <c r="Y72" i="1"/>
  <c r="Y32" i="1"/>
  <c r="Y75" i="1"/>
  <c r="Y81" i="1"/>
  <c r="Y126" i="1"/>
  <c r="Y87" i="1"/>
  <c r="Y46" i="1"/>
  <c r="Y89" i="1"/>
  <c r="Y90" i="1"/>
  <c r="Y95" i="1"/>
  <c r="Y68" i="1"/>
  <c r="Y168" i="1"/>
  <c r="Y14" i="1"/>
  <c r="Y175" i="1"/>
  <c r="Y149" i="1"/>
  <c r="Y91" i="1"/>
  <c r="Y162" i="1"/>
  <c r="Z115" i="1" l="1" a="1"/>
  <c r="Z115" i="1" s="1"/>
  <c r="AD115" i="1" s="1"/>
  <c r="Z97" i="1" a="1"/>
  <c r="Z97" i="1" s="1"/>
  <c r="AD97" i="1" s="1"/>
  <c r="Z183" i="1" a="1"/>
  <c r="Z183" i="1" s="1"/>
  <c r="AD183" i="1" s="1"/>
  <c r="Z116" i="1" a="1"/>
  <c r="Z116" i="1" s="1"/>
  <c r="AD116" i="1" s="1"/>
  <c r="Z158" i="1" a="1"/>
  <c r="Z158" i="1" s="1"/>
  <c r="AD158" i="1" s="1"/>
  <c r="Z139" i="1" a="1"/>
  <c r="Z139" i="1" s="1"/>
  <c r="AD139" i="1" s="1"/>
  <c r="Z111" i="1" a="1"/>
  <c r="Z111" i="1" s="1"/>
  <c r="AD111" i="1" s="1"/>
  <c r="Z165" i="1" a="1"/>
  <c r="Z165" i="1" s="1"/>
  <c r="AD165" i="1" s="1"/>
  <c r="Z178" i="1" a="1"/>
  <c r="Z178" i="1" s="1"/>
  <c r="AD178" i="1" s="1"/>
  <c r="Z46" i="1" a="1"/>
  <c r="Z46" i="1" s="1"/>
  <c r="AD46" i="1" s="1"/>
  <c r="Z25" i="1" a="1"/>
  <c r="Z25" i="1" s="1"/>
  <c r="AD25" i="1" s="1"/>
  <c r="Z169" i="1" a="1"/>
  <c r="Z169" i="1" s="1"/>
  <c r="AD169" i="1" s="1"/>
  <c r="Z102" i="1" a="1"/>
  <c r="Z102" i="1" s="1"/>
  <c r="AD102" i="1" s="1"/>
  <c r="Z40" i="1" a="1"/>
  <c r="Z40" i="1" s="1"/>
  <c r="AD40" i="1" s="1"/>
  <c r="Z109" i="1" a="1"/>
  <c r="Z109" i="1" s="1"/>
  <c r="AD109" i="1" s="1"/>
  <c r="Z27" i="1" a="1"/>
  <c r="Z27" i="1" s="1"/>
  <c r="AD27" i="1" s="1"/>
  <c r="Z137" i="1" a="1"/>
  <c r="Z137" i="1" s="1"/>
  <c r="AD137" i="1" s="1"/>
  <c r="Z58" i="1" a="1"/>
  <c r="Z58" i="1" s="1"/>
  <c r="AD58" i="1" s="1"/>
  <c r="Z180" i="1" a="1"/>
  <c r="Z180" i="1" s="1"/>
  <c r="AD180" i="1" s="1"/>
  <c r="Z62" i="1" a="1"/>
  <c r="Z62" i="1" s="1"/>
  <c r="AD62" i="1" s="1"/>
  <c r="Z30" i="1" a="1"/>
  <c r="Z30" i="1" s="1"/>
  <c r="AD30" i="1" s="1"/>
  <c r="Z117" i="1" a="1"/>
  <c r="Z117" i="1" s="1"/>
  <c r="AD117" i="1" s="1"/>
  <c r="Z60" i="1" a="1"/>
  <c r="Z60" i="1" s="1"/>
  <c r="AD60" i="1" s="1"/>
  <c r="Z88" i="1" a="1"/>
  <c r="Z88" i="1" s="1"/>
  <c r="AD88" i="1" s="1"/>
  <c r="Z53" i="1" a="1"/>
  <c r="Z53" i="1" s="1"/>
  <c r="AD53" i="1" s="1"/>
  <c r="Z24" i="1" a="1"/>
  <c r="Z24" i="1" s="1"/>
  <c r="AD24" i="1" s="1"/>
  <c r="Z146" i="1" a="1"/>
  <c r="Z146" i="1" s="1"/>
  <c r="AD146" i="1" s="1"/>
  <c r="Z124" i="1" a="1"/>
  <c r="Z124" i="1" s="1"/>
  <c r="AD124" i="1" s="1"/>
  <c r="Z79" i="1" a="1"/>
  <c r="Z79" i="1" s="1"/>
  <c r="AD79" i="1" s="1"/>
  <c r="Z138" i="1" a="1"/>
  <c r="Z138" i="1" s="1"/>
  <c r="AD138" i="1" s="1"/>
  <c r="Z98" i="1" a="1"/>
  <c r="Z98" i="1" s="1"/>
  <c r="AD98" i="1" s="1"/>
  <c r="Z159" i="1" a="1"/>
  <c r="Z159" i="1" s="1"/>
  <c r="AD159" i="1" s="1"/>
  <c r="Z167" i="1" a="1"/>
  <c r="Z167" i="1" s="1"/>
  <c r="AD167" i="1" s="1"/>
  <c r="Z35" i="1" a="1"/>
  <c r="Z35" i="1" s="1"/>
  <c r="AD35" i="1" s="1"/>
  <c r="Z153" i="1" a="1"/>
  <c r="Z153" i="1" s="1"/>
  <c r="AD153" i="1" s="1"/>
  <c r="Z83" i="1" a="1"/>
  <c r="Z83" i="1" s="1"/>
  <c r="AD83" i="1" s="1"/>
  <c r="Z74" i="1" a="1"/>
  <c r="Z74" i="1" s="1"/>
  <c r="AD74" i="1" s="1"/>
  <c r="Z126" i="1" a="1"/>
  <c r="Z126" i="1" s="1"/>
  <c r="AD126" i="1" s="1"/>
  <c r="Z84" i="1" a="1"/>
  <c r="Z84" i="1" s="1"/>
  <c r="AD84" i="1" s="1"/>
  <c r="Z101" i="1" a="1"/>
  <c r="Z101" i="1" s="1"/>
  <c r="AD101" i="1" s="1"/>
  <c r="Z68" i="1" a="1"/>
  <c r="Z68" i="1" s="1"/>
  <c r="AD68" i="1" s="1"/>
  <c r="Z103" i="1" a="1"/>
  <c r="Z103" i="1" s="1"/>
  <c r="AD103" i="1" s="1"/>
  <c r="Z34" i="1" a="1"/>
  <c r="Z34" i="1" s="1"/>
  <c r="AD34" i="1" s="1"/>
  <c r="Z154" i="1" a="1"/>
  <c r="Z154" i="1" s="1"/>
  <c r="AD154" i="1" s="1"/>
  <c r="Z160" i="1" a="1"/>
  <c r="Z160" i="1" s="1"/>
  <c r="AD160" i="1" s="1"/>
  <c r="Z104" i="1" a="1"/>
  <c r="Z104" i="1" s="1"/>
  <c r="AD104" i="1" s="1"/>
  <c r="Z107" i="1" a="1"/>
  <c r="Z107" i="1" s="1"/>
  <c r="AD107" i="1" s="1"/>
  <c r="Z44" i="1" a="1"/>
  <c r="Z44" i="1" s="1"/>
  <c r="AD44" i="1" s="1"/>
  <c r="Z163" i="1" a="1"/>
  <c r="Z163" i="1" s="1"/>
  <c r="AD163" i="1" s="1"/>
  <c r="Z100" i="1" a="1"/>
  <c r="Z100" i="1" s="1"/>
  <c r="AD100" i="1" s="1"/>
  <c r="Z18" i="1" a="1"/>
  <c r="Z18" i="1" s="1"/>
  <c r="AD18" i="1" s="1"/>
  <c r="Z148" i="1" a="1"/>
  <c r="Z148" i="1" s="1"/>
  <c r="AD148" i="1" s="1"/>
  <c r="Z70" i="1" a="1"/>
  <c r="Z70" i="1" s="1"/>
  <c r="AD70" i="1" s="1"/>
  <c r="Z157" i="1" a="1"/>
  <c r="Z157" i="1" s="1"/>
  <c r="AD157" i="1" s="1"/>
  <c r="Z147" i="1" a="1"/>
  <c r="Z147" i="1" s="1"/>
  <c r="AD147" i="1" s="1"/>
  <c r="Z143" i="1" a="1"/>
  <c r="Z143" i="1" s="1"/>
  <c r="AD143" i="1" s="1"/>
  <c r="Z90" i="1" a="1"/>
  <c r="Z90" i="1" s="1"/>
  <c r="AD90" i="1" s="1"/>
  <c r="Z66" i="1" a="1"/>
  <c r="Z66" i="1" s="1"/>
  <c r="AD66" i="1" s="1"/>
  <c r="Z182" i="1" a="1"/>
  <c r="Z182" i="1" s="1"/>
  <c r="AD182" i="1" s="1"/>
  <c r="Z64" i="1" a="1"/>
  <c r="Z64" i="1" s="1"/>
  <c r="AD64" i="1" s="1"/>
  <c r="Z69" i="1" a="1"/>
  <c r="Z69" i="1" s="1"/>
  <c r="AD69" i="1" s="1"/>
  <c r="Z31" i="1" a="1"/>
  <c r="Z31" i="1" s="1"/>
  <c r="AD31" i="1" s="1"/>
  <c r="Z23" i="1" a="1"/>
  <c r="Z23" i="1" s="1"/>
  <c r="AD23" i="1" s="1"/>
  <c r="Z95" i="1" a="1"/>
  <c r="Z95" i="1" s="1"/>
  <c r="AD95" i="1" s="1"/>
  <c r="Z181" i="1" a="1"/>
  <c r="Z181" i="1" s="1"/>
  <c r="AD181" i="1" s="1"/>
  <c r="Z91" i="1" a="1"/>
  <c r="Z91" i="1" s="1"/>
  <c r="AD91" i="1" s="1"/>
  <c r="Z82" i="1" a="1"/>
  <c r="Z82" i="1" s="1"/>
  <c r="AD82" i="1" s="1"/>
  <c r="Z119" i="1" a="1"/>
  <c r="Z119" i="1" s="1"/>
  <c r="AD119" i="1" s="1"/>
  <c r="Z28" i="1" a="1"/>
  <c r="Z28" i="1" s="1"/>
  <c r="AD28" i="1" s="1"/>
  <c r="Z89" i="1" a="1"/>
  <c r="Z89" i="1" s="1"/>
  <c r="AD89" i="1" s="1"/>
  <c r="Z171" i="1" a="1"/>
  <c r="Z171" i="1" s="1"/>
  <c r="AD171" i="1" s="1"/>
  <c r="Z39" i="1" a="1"/>
  <c r="Z39" i="1" s="1"/>
  <c r="AD39" i="1" s="1"/>
  <c r="Z9" i="1" a="1"/>
  <c r="Z9" i="1" s="1"/>
  <c r="AD9" i="1" s="1"/>
  <c r="Z75" i="1" a="1"/>
  <c r="Z75" i="1" s="1"/>
  <c r="AD75" i="1" s="1"/>
  <c r="Z19" i="1" a="1"/>
  <c r="Z19" i="1" s="1"/>
  <c r="AD19" i="1" s="1"/>
  <c r="Z188" i="1" a="1"/>
  <c r="Z188" i="1" s="1"/>
  <c r="AD188" i="1" s="1"/>
  <c r="Z10" i="1" a="1"/>
  <c r="Z10" i="1" s="1"/>
  <c r="AD10" i="1" s="1"/>
  <c r="Z5" i="1" a="1"/>
  <c r="Z5" i="1" s="1"/>
  <c r="AD5" i="1" s="1"/>
  <c r="Z172" i="1" a="1"/>
  <c r="Z172" i="1" s="1"/>
  <c r="AD172" i="1" s="1"/>
  <c r="Z6" i="1" a="1"/>
  <c r="Z6" i="1" s="1"/>
  <c r="AD6" i="1" s="1"/>
  <c r="Z57" i="1" a="1"/>
  <c r="Z57" i="1" s="1"/>
  <c r="AD57" i="1" s="1"/>
  <c r="Z15" i="1" a="1"/>
  <c r="Z15" i="1" s="1"/>
  <c r="AD15" i="1" s="1"/>
  <c r="Z190" i="1" a="1"/>
  <c r="Z190" i="1" s="1"/>
  <c r="AD190" i="1" s="1"/>
  <c r="Z175" i="1" a="1"/>
  <c r="Z175" i="1" s="1"/>
  <c r="AD175" i="1" s="1"/>
  <c r="Z65" i="1" a="1"/>
  <c r="Z65" i="1" s="1"/>
  <c r="AD65" i="1" s="1"/>
  <c r="Z121" i="1" a="1"/>
  <c r="Z121" i="1" s="1"/>
  <c r="AD121" i="1" s="1"/>
  <c r="Z36" i="1" a="1"/>
  <c r="Z36" i="1" s="1"/>
  <c r="AD36" i="1" s="1"/>
  <c r="Z161" i="1" a="1"/>
  <c r="Z161" i="1" s="1"/>
  <c r="AD161" i="1" s="1"/>
  <c r="Z131" i="1" a="1"/>
  <c r="Z131" i="1" s="1"/>
  <c r="AD131" i="1" s="1"/>
  <c r="Z127" i="1" a="1"/>
  <c r="Z127" i="1" s="1"/>
  <c r="AD127" i="1" s="1"/>
  <c r="Z125" i="1" a="1"/>
  <c r="Z125" i="1" s="1"/>
  <c r="AD125" i="1" s="1"/>
  <c r="Z54" i="1" a="1"/>
  <c r="Z54" i="1" s="1"/>
  <c r="AD54" i="1" s="1"/>
  <c r="Z118" i="1" a="1"/>
  <c r="Z118" i="1" s="1"/>
  <c r="AD118" i="1" s="1"/>
  <c r="Z59" i="1" a="1"/>
  <c r="Z59" i="1" s="1"/>
  <c r="AD59" i="1" s="1"/>
  <c r="Z189" i="1" a="1"/>
  <c r="Z189" i="1" s="1"/>
  <c r="AD189" i="1" s="1"/>
  <c r="Z187" i="1" a="1"/>
  <c r="Z187" i="1" s="1"/>
  <c r="AD187" i="1" s="1"/>
  <c r="Z184" i="1" a="1"/>
  <c r="Z184" i="1" s="1"/>
  <c r="AD184" i="1" s="1"/>
  <c r="Z4" i="1" a="1"/>
  <c r="Z4" i="1" s="1"/>
  <c r="AD4" i="1" s="1"/>
  <c r="Z130" i="1" a="1"/>
  <c r="Z130" i="1" s="1"/>
  <c r="AD130" i="1" s="1"/>
  <c r="Z14" i="1" a="1"/>
  <c r="Z14" i="1" s="1"/>
  <c r="AD14" i="1" s="1"/>
  <c r="Z33" i="1" a="1"/>
  <c r="Z33" i="1" s="1"/>
  <c r="AD33" i="1" s="1"/>
  <c r="Z122" i="1" a="1"/>
  <c r="Z122" i="1" s="1"/>
  <c r="AD122" i="1" s="1"/>
  <c r="Z29" i="1" a="1"/>
  <c r="Z29" i="1" s="1"/>
  <c r="AD29" i="1" s="1"/>
  <c r="Z38" i="1" a="1"/>
  <c r="Z38" i="1" s="1"/>
  <c r="AD38" i="1" s="1"/>
  <c r="Z156" i="1" a="1"/>
  <c r="Z156" i="1" s="1"/>
  <c r="AD156" i="1" s="1"/>
  <c r="Z8" i="1" a="1"/>
  <c r="Z8" i="1" s="1"/>
  <c r="AD8" i="1" s="1"/>
  <c r="Z185" i="1" a="1"/>
  <c r="Z185" i="1" s="1"/>
  <c r="AD185" i="1" s="1"/>
  <c r="Z142" i="1" a="1"/>
  <c r="Z142" i="1" s="1"/>
  <c r="AD142" i="1" s="1"/>
  <c r="Z37" i="1" a="1"/>
  <c r="Z37" i="1" s="1"/>
  <c r="AD37" i="1" s="1"/>
  <c r="Z110" i="1" a="1"/>
  <c r="Z110" i="1" s="1"/>
  <c r="AD110" i="1" s="1"/>
  <c r="Z71" i="1" a="1"/>
  <c r="Z71" i="1" s="1"/>
  <c r="AD71" i="1" s="1"/>
  <c r="Z7" i="1" a="1"/>
  <c r="Z7" i="1" s="1"/>
  <c r="AD7" i="1" s="1"/>
  <c r="Z32" i="1" a="1"/>
  <c r="Z32" i="1" s="1"/>
  <c r="AD32" i="1" s="1"/>
  <c r="Z94" i="1" a="1"/>
  <c r="Z94" i="1" s="1"/>
  <c r="AD94" i="1" s="1"/>
  <c r="Z179" i="1" a="1"/>
  <c r="Z179" i="1" s="1"/>
  <c r="AD179" i="1" s="1"/>
  <c r="Z81" i="1" a="1"/>
  <c r="Z81" i="1" s="1"/>
  <c r="AD81" i="1" s="1"/>
  <c r="Z48" i="1" a="1"/>
  <c r="Z48" i="1" s="1"/>
  <c r="AD48" i="1" s="1"/>
  <c r="Z85" i="1" a="1"/>
  <c r="Z85" i="1" s="1"/>
  <c r="AD85" i="1" s="1"/>
  <c r="Z177" i="1" a="1"/>
  <c r="Z177" i="1" s="1"/>
  <c r="AD177" i="1" s="1"/>
  <c r="Z41" i="1" a="1"/>
  <c r="Z41" i="1" s="1"/>
  <c r="AD41" i="1" s="1"/>
  <c r="Z113" i="1" a="1"/>
  <c r="Z113" i="1" s="1"/>
  <c r="AD113" i="1" s="1"/>
  <c r="Z72" i="1" a="1"/>
  <c r="Z72" i="1" s="1"/>
  <c r="AD72" i="1" s="1"/>
  <c r="Z174" i="1" a="1"/>
  <c r="Z174" i="1" s="1"/>
  <c r="AD174" i="1" s="1"/>
  <c r="Z140" i="1" a="1"/>
  <c r="Z140" i="1" s="1"/>
  <c r="AD140" i="1" s="1"/>
  <c r="Z164" i="1" a="1"/>
  <c r="Z164" i="1" s="1"/>
  <c r="AD164" i="1" s="1"/>
  <c r="Z51" i="1" a="1"/>
  <c r="Z51" i="1" s="1"/>
  <c r="AD51" i="1" s="1"/>
  <c r="Z21" i="1" a="1"/>
  <c r="Z21" i="1" s="1"/>
  <c r="AD21" i="1" s="1"/>
  <c r="Z132" i="1" a="1"/>
  <c r="Z132" i="1" s="1"/>
  <c r="AD132" i="1" s="1"/>
  <c r="Z123" i="1" a="1"/>
  <c r="Z123" i="1" s="1"/>
  <c r="AD123" i="1" s="1"/>
  <c r="Z162" i="1" a="1"/>
  <c r="Z162" i="1" s="1"/>
  <c r="AD162" i="1" s="1"/>
  <c r="Z99" i="1" a="1"/>
  <c r="Z99" i="1" s="1"/>
  <c r="AD99" i="1" s="1"/>
  <c r="Z11" i="1" a="1"/>
  <c r="Z11" i="1" s="1"/>
  <c r="AD11" i="1" s="1"/>
  <c r="Z22" i="1" a="1"/>
  <c r="Z22" i="1" s="1"/>
  <c r="AD22" i="1" s="1"/>
  <c r="Z73" i="1" a="1"/>
  <c r="Z73" i="1" s="1"/>
  <c r="AD73" i="1" s="1"/>
  <c r="Z26" i="1" a="1"/>
  <c r="Z26" i="1" s="1"/>
  <c r="AD26" i="1" s="1"/>
  <c r="Z55" i="1" a="1"/>
  <c r="Z55" i="1" s="1"/>
  <c r="AD55" i="1" s="1"/>
  <c r="Z186" i="1" a="1"/>
  <c r="Z186" i="1" s="1"/>
  <c r="AD186" i="1" s="1"/>
  <c r="Z151" i="1" a="1"/>
  <c r="Z151" i="1" s="1"/>
  <c r="AD151" i="1" s="1"/>
  <c r="Z144" i="1" a="1"/>
  <c r="Z144" i="1" s="1"/>
  <c r="AD144" i="1" s="1"/>
  <c r="Z12" i="1" a="1"/>
  <c r="Z12" i="1" s="1"/>
  <c r="AD12" i="1" s="1"/>
  <c r="Z45" i="1" a="1"/>
  <c r="Z45" i="1" s="1"/>
  <c r="AD45" i="1" s="1"/>
  <c r="Z120" i="1" a="1"/>
  <c r="Z120" i="1" s="1"/>
  <c r="AD120" i="1" s="1"/>
  <c r="Z92" i="1" a="1"/>
  <c r="Z92" i="1" s="1"/>
  <c r="AD92" i="1" s="1"/>
  <c r="Z173" i="1" a="1"/>
  <c r="Z173" i="1" s="1"/>
  <c r="AD173" i="1" s="1"/>
  <c r="Z135" i="1" a="1"/>
  <c r="Z135" i="1" s="1"/>
  <c r="AD135" i="1" s="1"/>
  <c r="Z166" i="1" a="1"/>
  <c r="Z166" i="1" s="1"/>
  <c r="AD166" i="1" s="1"/>
  <c r="Z134" i="1" a="1"/>
  <c r="Z134" i="1" s="1"/>
  <c r="AD134" i="1" s="1"/>
  <c r="Z80" i="1" a="1"/>
  <c r="Z80" i="1" s="1"/>
  <c r="AD80" i="1" s="1"/>
  <c r="Z168" i="1" a="1"/>
  <c r="Z168" i="1" s="1"/>
  <c r="AD168" i="1" s="1"/>
  <c r="Z176" i="1" a="1"/>
  <c r="Z176" i="1" s="1"/>
  <c r="AD176" i="1" s="1"/>
  <c r="Z136" i="1" a="1"/>
  <c r="Z136" i="1" s="1"/>
  <c r="AD136" i="1" s="1"/>
  <c r="Z16" i="1" a="1"/>
  <c r="Z16" i="1" s="1"/>
  <c r="AD16" i="1" s="1"/>
  <c r="Z128" i="1" a="1"/>
  <c r="Z128" i="1" s="1"/>
  <c r="AD128" i="1" s="1"/>
  <c r="Z170" i="1" a="1"/>
  <c r="Z170" i="1" s="1"/>
  <c r="AD170" i="1" s="1"/>
  <c r="Z87" i="1" a="1"/>
  <c r="Z87" i="1" s="1"/>
  <c r="AD87" i="1" s="1"/>
  <c r="Z52" i="1" a="1"/>
  <c r="Z52" i="1" s="1"/>
  <c r="AD52" i="1" s="1"/>
  <c r="Z155" i="1" a="1"/>
  <c r="Z155" i="1" s="1"/>
  <c r="AD155" i="1" s="1"/>
  <c r="Z145" i="1" a="1"/>
  <c r="Z145" i="1" s="1"/>
  <c r="AD145" i="1" s="1"/>
  <c r="Z114" i="1" a="1"/>
  <c r="Z114" i="1" s="1"/>
  <c r="AD114" i="1" s="1"/>
  <c r="Z141" i="1" a="1"/>
  <c r="Z141" i="1" s="1"/>
  <c r="AD141" i="1" s="1"/>
  <c r="Z86" i="1" a="1"/>
  <c r="Z86" i="1" s="1"/>
  <c r="AD86" i="1" s="1"/>
  <c r="Z47" i="1" a="1"/>
  <c r="Z47" i="1" s="1"/>
  <c r="AD47" i="1" s="1"/>
  <c r="Z13" i="1" a="1"/>
  <c r="Z13" i="1" s="1"/>
  <c r="AD13" i="1" s="1"/>
  <c r="Z93" i="1" a="1"/>
  <c r="Z93" i="1" s="1"/>
  <c r="AD93" i="1" s="1"/>
  <c r="Z76" i="1" a="1"/>
  <c r="Z76" i="1" s="1"/>
  <c r="AD76" i="1" s="1"/>
  <c r="Z112" i="1" a="1"/>
  <c r="Z112" i="1" s="1"/>
  <c r="AD112" i="1" s="1"/>
  <c r="Z67" i="1" a="1"/>
  <c r="Z67" i="1" s="1"/>
  <c r="AD67" i="1" s="1"/>
  <c r="Z150" i="1" a="1"/>
  <c r="Z150" i="1" s="1"/>
  <c r="AD150" i="1" s="1"/>
  <c r="Z20" i="1" a="1"/>
  <c r="Z20" i="1" s="1"/>
  <c r="AD20" i="1" s="1"/>
  <c r="Z50" i="1" a="1"/>
  <c r="Z50" i="1" s="1"/>
  <c r="AD50" i="1" s="1"/>
  <c r="Z56" i="1" a="1"/>
  <c r="Z56" i="1" s="1"/>
  <c r="AD56" i="1" s="1"/>
  <c r="Z61" i="1" a="1"/>
  <c r="Z61" i="1" s="1"/>
  <c r="AD61" i="1" s="1"/>
  <c r="Z43" i="1" a="1"/>
  <c r="Z43" i="1" s="1"/>
  <c r="AD43" i="1" s="1"/>
  <c r="Z96" i="1" a="1"/>
  <c r="Z96" i="1" s="1"/>
  <c r="AD96" i="1" s="1"/>
  <c r="Z49" i="1" a="1"/>
  <c r="Z49" i="1" s="1"/>
  <c r="AD49" i="1" s="1"/>
  <c r="Z106" i="1" a="1"/>
  <c r="Z106" i="1" s="1"/>
  <c r="AD106" i="1" s="1"/>
  <c r="Z133" i="1" a="1"/>
  <c r="Z133" i="1" s="1"/>
  <c r="AD133" i="1" s="1"/>
  <c r="Z129" i="1" a="1"/>
  <c r="Z129" i="1" s="1"/>
  <c r="AD129" i="1" s="1"/>
  <c r="Z77" i="1" a="1"/>
  <c r="Z77" i="1" s="1"/>
  <c r="AD77" i="1" s="1"/>
  <c r="Z152" i="1" a="1"/>
  <c r="Z152" i="1" s="1"/>
  <c r="AD152" i="1" s="1"/>
  <c r="Z108" i="1" a="1"/>
  <c r="Z108" i="1" s="1"/>
  <c r="AD108" i="1" s="1"/>
  <c r="Z17" i="1" a="1"/>
  <c r="Z17" i="1" s="1"/>
  <c r="AD17" i="1" s="1"/>
  <c r="Z63" i="1" a="1"/>
  <c r="Z63" i="1" s="1"/>
  <c r="AD63" i="1" s="1"/>
  <c r="Z149" i="1" a="1"/>
  <c r="Z149" i="1" s="1"/>
  <c r="AD149" i="1" s="1"/>
  <c r="Z105" i="1" a="1"/>
  <c r="Z105" i="1" s="1"/>
  <c r="AD105" i="1" s="1"/>
  <c r="Z42" i="1" a="1"/>
  <c r="Z42" i="1" s="1"/>
  <c r="AD42" i="1" s="1"/>
  <c r="Z78" i="1" a="1"/>
  <c r="Z78" i="1" s="1"/>
  <c r="AD78" i="1" s="1"/>
  <c r="Z3" i="1" a="1"/>
  <c r="Z3" i="1" s="1"/>
  <c r="AD3" i="1" s="1"/>
  <c r="AD191" i="1" l="1"/>
  <c r="AB42" i="1"/>
  <c r="AC42" i="1"/>
  <c r="AB50" i="1"/>
  <c r="AC50" i="1"/>
  <c r="AB87" i="1"/>
  <c r="AC87" i="1"/>
  <c r="AB17" i="1"/>
  <c r="AC17" i="1"/>
  <c r="AB150" i="1"/>
  <c r="AC150" i="1"/>
  <c r="AB170" i="1"/>
  <c r="AC170" i="1"/>
  <c r="AB12" i="1"/>
  <c r="AC12" i="1"/>
  <c r="AB51" i="1"/>
  <c r="AC51" i="1"/>
  <c r="AB7" i="1"/>
  <c r="AC7" i="1"/>
  <c r="AB4" i="1"/>
  <c r="AC4" i="1"/>
  <c r="AB175" i="1"/>
  <c r="AC175" i="1"/>
  <c r="AB89" i="1"/>
  <c r="AC89" i="1"/>
  <c r="AB143" i="1"/>
  <c r="AC143" i="1"/>
  <c r="AB103" i="1"/>
  <c r="AC103" i="1"/>
  <c r="AB124" i="1"/>
  <c r="AC124" i="1"/>
  <c r="AB40" i="1"/>
  <c r="AC40" i="1"/>
  <c r="AB78" i="1"/>
  <c r="AC78" i="1"/>
  <c r="AB63" i="1"/>
  <c r="AC63" i="1"/>
  <c r="AB108" i="1"/>
  <c r="AC108" i="1"/>
  <c r="AB67" i="1"/>
  <c r="AC67" i="1"/>
  <c r="AB128" i="1"/>
  <c r="AC128" i="1"/>
  <c r="AB144" i="1"/>
  <c r="AC144" i="1"/>
  <c r="AB164" i="1"/>
  <c r="AC164" i="1"/>
  <c r="AB71" i="1"/>
  <c r="AC71" i="1"/>
  <c r="AB184" i="1"/>
  <c r="AC184" i="1"/>
  <c r="AB190" i="1"/>
  <c r="AC190" i="1"/>
  <c r="AB28" i="1"/>
  <c r="AC28" i="1"/>
  <c r="AB147" i="1"/>
  <c r="AC147" i="1"/>
  <c r="AB68" i="1"/>
  <c r="AC68" i="1"/>
  <c r="AB146" i="1"/>
  <c r="AC146" i="1"/>
  <c r="AB102" i="1"/>
  <c r="AC102" i="1"/>
  <c r="AB106" i="1"/>
  <c r="AC106" i="1"/>
  <c r="AB105" i="1"/>
  <c r="AC105" i="1"/>
  <c r="AB152" i="1"/>
  <c r="AC152" i="1"/>
  <c r="AB112" i="1"/>
  <c r="AC112" i="1"/>
  <c r="AB16" i="1"/>
  <c r="AC16" i="1"/>
  <c r="AB151" i="1"/>
  <c r="AC151" i="1"/>
  <c r="AB140" i="1"/>
  <c r="AC140" i="1"/>
  <c r="AB110" i="1"/>
  <c r="AC110" i="1"/>
  <c r="AB187" i="1"/>
  <c r="AC187" i="1"/>
  <c r="AB15" i="1"/>
  <c r="AC15" i="1"/>
  <c r="AB119" i="1"/>
  <c r="AC119" i="1"/>
  <c r="AB157" i="1"/>
  <c r="AC157" i="1"/>
  <c r="AB101" i="1"/>
  <c r="AC101" i="1"/>
  <c r="AB24" i="1"/>
  <c r="AC24" i="1"/>
  <c r="AB169" i="1"/>
  <c r="AC169" i="1"/>
  <c r="AB77" i="1"/>
  <c r="AC77" i="1"/>
  <c r="AB76" i="1"/>
  <c r="AC76" i="1"/>
  <c r="AB136" i="1"/>
  <c r="AC136" i="1"/>
  <c r="AB186" i="1"/>
  <c r="AC186" i="1"/>
  <c r="AB174" i="1"/>
  <c r="AC174" i="1"/>
  <c r="AB37" i="1"/>
  <c r="AC37" i="1"/>
  <c r="AB189" i="1"/>
  <c r="AC189" i="1"/>
  <c r="AB57" i="1"/>
  <c r="AC57" i="1"/>
  <c r="AB82" i="1"/>
  <c r="AC82" i="1"/>
  <c r="AB70" i="1"/>
  <c r="AC70" i="1"/>
  <c r="AB84" i="1"/>
  <c r="AC84" i="1"/>
  <c r="AB53" i="1"/>
  <c r="AC53" i="1"/>
  <c r="AB25" i="1"/>
  <c r="AC25" i="1"/>
  <c r="AB129" i="1"/>
  <c r="AC129" i="1"/>
  <c r="AB93" i="1"/>
  <c r="AC93" i="1"/>
  <c r="AB176" i="1"/>
  <c r="AC176" i="1"/>
  <c r="AB55" i="1"/>
  <c r="AC55" i="1"/>
  <c r="AB72" i="1"/>
  <c r="AC72" i="1"/>
  <c r="AB142" i="1"/>
  <c r="AC142" i="1"/>
  <c r="AB59" i="1"/>
  <c r="AC59" i="1"/>
  <c r="AB6" i="1"/>
  <c r="AC6" i="1"/>
  <c r="AB91" i="1"/>
  <c r="AC91" i="1"/>
  <c r="AB148" i="1"/>
  <c r="AC148" i="1"/>
  <c r="AB126" i="1"/>
  <c r="AC126" i="1"/>
  <c r="AB88" i="1"/>
  <c r="AC88" i="1"/>
  <c r="AB46" i="1"/>
  <c r="AC46" i="1"/>
  <c r="AB133" i="1"/>
  <c r="AC133" i="1"/>
  <c r="AB13" i="1"/>
  <c r="AC13" i="1"/>
  <c r="AB168" i="1"/>
  <c r="AC168" i="1"/>
  <c r="AB26" i="1"/>
  <c r="AC26" i="1"/>
  <c r="AB113" i="1"/>
  <c r="AC113" i="1"/>
  <c r="AB185" i="1"/>
  <c r="AC185" i="1"/>
  <c r="AB118" i="1"/>
  <c r="AC118" i="1"/>
  <c r="AB172" i="1"/>
  <c r="AC172" i="1"/>
  <c r="AB181" i="1"/>
  <c r="AC181" i="1"/>
  <c r="AB18" i="1"/>
  <c r="AC18" i="1"/>
  <c r="AB74" i="1"/>
  <c r="AC74" i="1"/>
  <c r="AB60" i="1"/>
  <c r="AC60" i="1"/>
  <c r="AB178" i="1"/>
  <c r="AC178" i="1"/>
  <c r="AB80" i="1"/>
  <c r="AC80" i="1"/>
  <c r="AB73" i="1"/>
  <c r="AC73" i="1"/>
  <c r="AB41" i="1"/>
  <c r="AC41" i="1"/>
  <c r="AB8" i="1"/>
  <c r="AC8" i="1"/>
  <c r="AB54" i="1"/>
  <c r="AC54" i="1"/>
  <c r="AB5" i="1"/>
  <c r="AC5" i="1"/>
  <c r="AB95" i="1"/>
  <c r="AC95" i="1"/>
  <c r="AB100" i="1"/>
  <c r="AC100" i="1"/>
  <c r="AB83" i="1"/>
  <c r="AC83" i="1"/>
  <c r="AB117" i="1"/>
  <c r="AC117" i="1"/>
  <c r="AB165" i="1"/>
  <c r="AC165" i="1"/>
  <c r="AB49" i="1"/>
  <c r="AC49" i="1"/>
  <c r="AB86" i="1"/>
  <c r="AC86" i="1"/>
  <c r="AB134" i="1"/>
  <c r="AC134" i="1"/>
  <c r="AB22" i="1"/>
  <c r="AC22" i="1"/>
  <c r="AB177" i="1"/>
  <c r="AC177" i="1"/>
  <c r="AB156" i="1"/>
  <c r="AC156" i="1"/>
  <c r="AB125" i="1"/>
  <c r="AC125" i="1"/>
  <c r="AB10" i="1"/>
  <c r="AC10" i="1"/>
  <c r="AB23" i="1"/>
  <c r="AC23" i="1"/>
  <c r="AB163" i="1"/>
  <c r="AC163" i="1"/>
  <c r="AB153" i="1"/>
  <c r="AC153" i="1"/>
  <c r="AB30" i="1"/>
  <c r="AC30" i="1"/>
  <c r="AB111" i="1"/>
  <c r="AC111" i="1"/>
  <c r="AB47" i="1"/>
  <c r="AC47" i="1"/>
  <c r="AB96" i="1"/>
  <c r="AC96" i="1"/>
  <c r="AB141" i="1"/>
  <c r="AC141" i="1"/>
  <c r="AB166" i="1"/>
  <c r="AC166" i="1"/>
  <c r="AB11" i="1"/>
  <c r="AC11" i="1"/>
  <c r="AB85" i="1"/>
  <c r="AC85" i="1"/>
  <c r="AB38" i="1"/>
  <c r="AC38" i="1"/>
  <c r="AB127" i="1"/>
  <c r="AC127" i="1"/>
  <c r="AB188" i="1"/>
  <c r="AC188" i="1"/>
  <c r="AB31" i="1"/>
  <c r="AC31" i="1"/>
  <c r="AB44" i="1"/>
  <c r="AC44" i="1"/>
  <c r="AB35" i="1"/>
  <c r="AC35" i="1"/>
  <c r="AB62" i="1"/>
  <c r="AC62" i="1"/>
  <c r="AB139" i="1"/>
  <c r="AC139" i="1"/>
  <c r="AB43" i="1"/>
  <c r="AC43" i="1"/>
  <c r="AB114" i="1"/>
  <c r="AC114" i="1"/>
  <c r="AB135" i="1"/>
  <c r="AC135" i="1"/>
  <c r="AB99" i="1"/>
  <c r="AC99" i="1"/>
  <c r="AB48" i="1"/>
  <c r="AC48" i="1"/>
  <c r="AB29" i="1"/>
  <c r="AC29" i="1"/>
  <c r="AB131" i="1"/>
  <c r="AC131" i="1"/>
  <c r="AB19" i="1"/>
  <c r="AC19" i="1"/>
  <c r="AB69" i="1"/>
  <c r="AC69" i="1"/>
  <c r="AB107" i="1"/>
  <c r="AC107" i="1"/>
  <c r="AB167" i="1"/>
  <c r="AC167" i="1"/>
  <c r="AB180" i="1"/>
  <c r="AC180" i="1"/>
  <c r="AB158" i="1"/>
  <c r="AC158" i="1"/>
  <c r="AB145" i="1"/>
  <c r="AC145" i="1"/>
  <c r="AB173" i="1"/>
  <c r="AC173" i="1"/>
  <c r="AB162" i="1"/>
  <c r="AC162" i="1"/>
  <c r="AB81" i="1"/>
  <c r="AC81" i="1"/>
  <c r="AB122" i="1"/>
  <c r="AC122" i="1"/>
  <c r="AB161" i="1"/>
  <c r="AC161" i="1"/>
  <c r="AB75" i="1"/>
  <c r="AC75" i="1"/>
  <c r="AB64" i="1"/>
  <c r="AC64" i="1"/>
  <c r="AB104" i="1"/>
  <c r="AC104" i="1"/>
  <c r="AB159" i="1"/>
  <c r="AC159" i="1"/>
  <c r="AB58" i="1"/>
  <c r="AC58" i="1"/>
  <c r="AB116" i="1"/>
  <c r="AC116" i="1"/>
  <c r="AB61" i="1"/>
  <c r="AC61" i="1"/>
  <c r="AB56" i="1"/>
  <c r="AC56" i="1"/>
  <c r="AB155" i="1"/>
  <c r="AC155" i="1"/>
  <c r="AB92" i="1"/>
  <c r="AC92" i="1"/>
  <c r="AB123" i="1"/>
  <c r="AC123" i="1"/>
  <c r="AB179" i="1"/>
  <c r="AC179" i="1"/>
  <c r="AB33" i="1"/>
  <c r="AC33" i="1"/>
  <c r="AB36" i="1"/>
  <c r="AC36" i="1"/>
  <c r="AB9" i="1"/>
  <c r="AC9" i="1"/>
  <c r="AB182" i="1"/>
  <c r="AC182" i="1"/>
  <c r="AB160" i="1"/>
  <c r="AC160" i="1"/>
  <c r="AB98" i="1"/>
  <c r="AC98" i="1"/>
  <c r="AB137" i="1"/>
  <c r="AC137" i="1"/>
  <c r="AB183" i="1"/>
  <c r="AC183" i="1"/>
  <c r="AB3" i="1"/>
  <c r="AC3" i="1"/>
  <c r="AB52" i="1"/>
  <c r="AC52" i="1"/>
  <c r="AB120" i="1"/>
  <c r="AC120" i="1"/>
  <c r="AB132" i="1"/>
  <c r="AC132" i="1"/>
  <c r="AB94" i="1"/>
  <c r="AC94" i="1"/>
  <c r="AB14" i="1"/>
  <c r="AC14" i="1"/>
  <c r="AB121" i="1"/>
  <c r="AC121" i="1"/>
  <c r="AB39" i="1"/>
  <c r="AC39" i="1"/>
  <c r="AB66" i="1"/>
  <c r="AC66" i="1"/>
  <c r="AB154" i="1"/>
  <c r="AC154" i="1"/>
  <c r="AB138" i="1"/>
  <c r="AC138" i="1"/>
  <c r="AB27" i="1"/>
  <c r="AC27" i="1"/>
  <c r="AB97" i="1"/>
  <c r="AC97" i="1"/>
  <c r="AB149" i="1"/>
  <c r="AC149" i="1"/>
  <c r="AB20" i="1"/>
  <c r="AC20" i="1"/>
  <c r="AB45" i="1"/>
  <c r="AC45" i="1"/>
  <c r="AB21" i="1"/>
  <c r="AC21" i="1"/>
  <c r="AB32" i="1"/>
  <c r="AC32" i="1"/>
  <c r="AB130" i="1"/>
  <c r="AC130" i="1"/>
  <c r="AB65" i="1"/>
  <c r="AC65" i="1"/>
  <c r="AB171" i="1"/>
  <c r="AC171" i="1"/>
  <c r="AB90" i="1"/>
  <c r="AC90" i="1"/>
  <c r="AB34" i="1"/>
  <c r="AC34" i="1"/>
  <c r="AB79" i="1"/>
  <c r="AC79" i="1"/>
  <c r="AB109" i="1"/>
  <c r="AC109" i="1"/>
  <c r="AB115" i="1"/>
  <c r="AC115" i="1"/>
  <c r="AA149" i="1"/>
  <c r="AA17" i="1"/>
  <c r="AA150" i="1"/>
  <c r="AA170" i="1"/>
  <c r="AA12" i="1"/>
  <c r="AA51" i="1"/>
  <c r="AA7" i="1"/>
  <c r="AA4" i="1"/>
  <c r="AA175" i="1"/>
  <c r="AA89" i="1"/>
  <c r="AA143" i="1"/>
  <c r="AA103" i="1"/>
  <c r="AA124" i="1"/>
  <c r="AA40" i="1"/>
  <c r="AA108" i="1"/>
  <c r="AA67" i="1"/>
  <c r="AA128" i="1"/>
  <c r="AA144" i="1"/>
  <c r="AA164" i="1"/>
  <c r="AA71" i="1"/>
  <c r="AA184" i="1"/>
  <c r="AA190" i="1"/>
  <c r="AA28" i="1"/>
  <c r="AA147" i="1"/>
  <c r="AA68" i="1"/>
  <c r="AA146" i="1"/>
  <c r="AA102" i="1"/>
  <c r="AA61" i="1"/>
  <c r="AA152" i="1"/>
  <c r="AA112" i="1"/>
  <c r="AA16" i="1"/>
  <c r="AA151" i="1"/>
  <c r="AA140" i="1"/>
  <c r="AA110" i="1"/>
  <c r="AA187" i="1"/>
  <c r="AA15" i="1"/>
  <c r="AA119" i="1"/>
  <c r="AA157" i="1"/>
  <c r="AA101" i="1"/>
  <c r="AA24" i="1"/>
  <c r="AA169" i="1"/>
  <c r="AA77" i="1"/>
  <c r="AA76" i="1"/>
  <c r="AA136" i="1"/>
  <c r="AA186" i="1"/>
  <c r="AA174" i="1"/>
  <c r="AA37" i="1"/>
  <c r="AA189" i="1"/>
  <c r="AA57" i="1"/>
  <c r="AA82" i="1"/>
  <c r="AA70" i="1"/>
  <c r="AA84" i="1"/>
  <c r="AA53" i="1"/>
  <c r="AA25" i="1"/>
  <c r="AA129" i="1"/>
  <c r="AA93" i="1"/>
  <c r="AA176" i="1"/>
  <c r="AA55" i="1"/>
  <c r="AA72" i="1"/>
  <c r="AA142" i="1"/>
  <c r="AA59" i="1"/>
  <c r="AA6" i="1"/>
  <c r="AA91" i="1"/>
  <c r="AA148" i="1"/>
  <c r="AA126" i="1"/>
  <c r="AA88" i="1"/>
  <c r="AA46" i="1"/>
  <c r="AA42" i="1"/>
  <c r="AA133" i="1"/>
  <c r="AA13" i="1"/>
  <c r="AA168" i="1"/>
  <c r="AA26" i="1"/>
  <c r="AA113" i="1"/>
  <c r="AA185" i="1"/>
  <c r="AA118" i="1"/>
  <c r="AA172" i="1"/>
  <c r="AA181" i="1"/>
  <c r="AA18" i="1"/>
  <c r="AA74" i="1"/>
  <c r="AA60" i="1"/>
  <c r="AA178" i="1"/>
  <c r="AA47" i="1"/>
  <c r="AA80" i="1"/>
  <c r="AA73" i="1"/>
  <c r="AA41" i="1"/>
  <c r="AA8" i="1"/>
  <c r="AA54" i="1"/>
  <c r="AA5" i="1"/>
  <c r="AA95" i="1"/>
  <c r="AA100" i="1"/>
  <c r="AA83" i="1"/>
  <c r="AA117" i="1"/>
  <c r="AA165" i="1"/>
  <c r="AA49" i="1"/>
  <c r="AA86" i="1"/>
  <c r="AA134" i="1"/>
  <c r="AA22" i="1"/>
  <c r="AA177" i="1"/>
  <c r="AA156" i="1"/>
  <c r="AA125" i="1"/>
  <c r="AA10" i="1"/>
  <c r="AA23" i="1"/>
  <c r="AA163" i="1"/>
  <c r="AA153" i="1"/>
  <c r="AA30" i="1"/>
  <c r="AA111" i="1"/>
  <c r="AA3" i="1"/>
  <c r="AA96" i="1"/>
  <c r="AA141" i="1"/>
  <c r="AA166" i="1"/>
  <c r="AA11" i="1"/>
  <c r="AA85" i="1"/>
  <c r="AA38" i="1"/>
  <c r="AA127" i="1"/>
  <c r="AA188" i="1"/>
  <c r="AA31" i="1"/>
  <c r="AA44" i="1"/>
  <c r="AA35" i="1"/>
  <c r="AA62" i="1"/>
  <c r="AA139" i="1"/>
  <c r="AA43" i="1"/>
  <c r="AA114" i="1"/>
  <c r="AA135" i="1"/>
  <c r="AA99" i="1"/>
  <c r="AA48" i="1"/>
  <c r="AA29" i="1"/>
  <c r="AA131" i="1"/>
  <c r="AA19" i="1"/>
  <c r="AA69" i="1"/>
  <c r="AA107" i="1"/>
  <c r="AA167" i="1"/>
  <c r="AA180" i="1"/>
  <c r="AA158" i="1"/>
  <c r="AA78" i="1"/>
  <c r="AA173" i="1"/>
  <c r="AA162" i="1"/>
  <c r="AA81" i="1"/>
  <c r="AA122" i="1"/>
  <c r="AA161" i="1"/>
  <c r="AA75" i="1"/>
  <c r="AA64" i="1"/>
  <c r="AA104" i="1"/>
  <c r="AA159" i="1"/>
  <c r="AA58" i="1"/>
  <c r="AA116" i="1"/>
  <c r="AA145" i="1"/>
  <c r="AA56" i="1"/>
  <c r="AA155" i="1"/>
  <c r="AA92" i="1"/>
  <c r="AA123" i="1"/>
  <c r="AA179" i="1"/>
  <c r="AA33" i="1"/>
  <c r="AA36" i="1"/>
  <c r="AA9" i="1"/>
  <c r="AA182" i="1"/>
  <c r="AA160" i="1"/>
  <c r="AA98" i="1"/>
  <c r="AA137" i="1"/>
  <c r="AA183" i="1"/>
  <c r="AA105" i="1"/>
  <c r="AA50" i="1"/>
  <c r="AA52" i="1"/>
  <c r="AA120" i="1"/>
  <c r="AA132" i="1"/>
  <c r="AA94" i="1"/>
  <c r="AA14" i="1"/>
  <c r="AA121" i="1"/>
  <c r="AA39" i="1"/>
  <c r="AA66" i="1"/>
  <c r="AA154" i="1"/>
  <c r="AA138" i="1"/>
  <c r="AA27" i="1"/>
  <c r="AA97" i="1"/>
  <c r="AA106" i="1"/>
  <c r="AA63" i="1"/>
  <c r="AA20" i="1"/>
  <c r="AA87" i="1"/>
  <c r="AA45" i="1"/>
  <c r="AA21" i="1"/>
  <c r="AA32" i="1"/>
  <c r="AA130" i="1"/>
  <c r="AA65" i="1"/>
  <c r="AA171" i="1"/>
  <c r="AA90" i="1"/>
  <c r="AA34" i="1"/>
  <c r="AA79" i="1"/>
  <c r="AA109" i="1"/>
  <c r="AA115" i="1"/>
  <c r="AC191" i="1" l="1"/>
  <c r="AB191" i="1"/>
  <c r="AA19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<sst xmlns="http://schemas.openxmlformats.org/spreadsheetml/2006/main" count="1054" uniqueCount="446">
  <si>
    <t>ADM1_EN</t>
  </si>
  <si>
    <t>ADM2_EN</t>
  </si>
  <si>
    <t>ADM2_PCODE</t>
  </si>
  <si>
    <t xml:space="preserve"> IDPs </t>
  </si>
  <si>
    <t xml:space="preserve"> Returnees </t>
  </si>
  <si>
    <t xml:space="preserve"> Refugees in Sudan </t>
  </si>
  <si>
    <t>Khartoum</t>
  </si>
  <si>
    <t>Jebel Awlia</t>
  </si>
  <si>
    <t>SD01001</t>
  </si>
  <si>
    <t>Um Bada</t>
  </si>
  <si>
    <t>SD01002</t>
  </si>
  <si>
    <t>Bahri</t>
  </si>
  <si>
    <t>SD01003</t>
  </si>
  <si>
    <t>Sharg An Neel</t>
  </si>
  <si>
    <t>SD01004</t>
  </si>
  <si>
    <t>Karrari</t>
  </si>
  <si>
    <t>SD01005</t>
  </si>
  <si>
    <t>Um Durman</t>
  </si>
  <si>
    <t>SD01006</t>
  </si>
  <si>
    <t>SD01007</t>
  </si>
  <si>
    <t>North Darfur</t>
  </si>
  <si>
    <t>Dar As Salam</t>
  </si>
  <si>
    <t>SD02113</t>
  </si>
  <si>
    <t xml:space="preserve">                          -  </t>
  </si>
  <si>
    <t xml:space="preserve">                               -  </t>
  </si>
  <si>
    <t>Al Fasher</t>
  </si>
  <si>
    <t>SD02114</t>
  </si>
  <si>
    <t>Al Koma</t>
  </si>
  <si>
    <t>SD02116</t>
  </si>
  <si>
    <t>Al Malha</t>
  </si>
  <si>
    <t>SD02117</t>
  </si>
  <si>
    <t>As Serief</t>
  </si>
  <si>
    <t>SD02118</t>
  </si>
  <si>
    <t>At Tawisha</t>
  </si>
  <si>
    <t>SD02119</t>
  </si>
  <si>
    <t>Um Baru</t>
  </si>
  <si>
    <t>SD02120</t>
  </si>
  <si>
    <t>Kebkabiya</t>
  </si>
  <si>
    <t>SD02124</t>
  </si>
  <si>
    <t>Kelemando</t>
  </si>
  <si>
    <t>SD02126</t>
  </si>
  <si>
    <t>Kutum</t>
  </si>
  <si>
    <t>SD02128</t>
  </si>
  <si>
    <t>Melit</t>
  </si>
  <si>
    <t>SD02129</t>
  </si>
  <si>
    <t>Saraf Omra</t>
  </si>
  <si>
    <t>SD02133</t>
  </si>
  <si>
    <t>Um Kadadah</t>
  </si>
  <si>
    <t>SD02136</t>
  </si>
  <si>
    <t>Kernoi</t>
  </si>
  <si>
    <t>SD02168</t>
  </si>
  <si>
    <t>Al Lait</t>
  </si>
  <si>
    <t>SD02169</t>
  </si>
  <si>
    <t>Tawila</t>
  </si>
  <si>
    <t>SD02170</t>
  </si>
  <si>
    <t>At Tina</t>
  </si>
  <si>
    <t>SD02171</t>
  </si>
  <si>
    <t>South Darfur</t>
  </si>
  <si>
    <t>Al Radoum</t>
  </si>
  <si>
    <t>SD03141</t>
  </si>
  <si>
    <t>Ed Al Fursan</t>
  </si>
  <si>
    <t>SD03143</t>
  </si>
  <si>
    <t>Kas</t>
  </si>
  <si>
    <t>SD03144</t>
  </si>
  <si>
    <t>Mershing</t>
  </si>
  <si>
    <t>SD03145</t>
  </si>
  <si>
    <t>Um Dafoug</t>
  </si>
  <si>
    <t>SD03146</t>
  </si>
  <si>
    <t>Sharg Aj Jabal</t>
  </si>
  <si>
    <t>SD03147</t>
  </si>
  <si>
    <t>Tulus</t>
  </si>
  <si>
    <t>SD03149</t>
  </si>
  <si>
    <t>Al Wihda</t>
  </si>
  <si>
    <t>SD03150</t>
  </si>
  <si>
    <t>Nitega</t>
  </si>
  <si>
    <t>SD03151</t>
  </si>
  <si>
    <t>Gereida</t>
  </si>
  <si>
    <t>SD03153</t>
  </si>
  <si>
    <t>Shattaya</t>
  </si>
  <si>
    <t>SD03154</t>
  </si>
  <si>
    <t>As Sunta</t>
  </si>
  <si>
    <t>SD03156</t>
  </si>
  <si>
    <t>Kubum</t>
  </si>
  <si>
    <t>SD03157</t>
  </si>
  <si>
    <t>Rehaid Albirdi</t>
  </si>
  <si>
    <t>SD03158</t>
  </si>
  <si>
    <t>Kateila</t>
  </si>
  <si>
    <t>SD03159</t>
  </si>
  <si>
    <t>Buram</t>
  </si>
  <si>
    <t>SD03161</t>
  </si>
  <si>
    <t>Beliel</t>
  </si>
  <si>
    <t>SD03162</t>
  </si>
  <si>
    <t>Nyala Shimal</t>
  </si>
  <si>
    <t>SD03164</t>
  </si>
  <si>
    <t>As Salam - SD</t>
  </si>
  <si>
    <t>SD03166</t>
  </si>
  <si>
    <t>Nyala Janoub</t>
  </si>
  <si>
    <t>SD03167</t>
  </si>
  <si>
    <t>Damso</t>
  </si>
  <si>
    <t>SD03172</t>
  </si>
  <si>
    <t>West Darfur</t>
  </si>
  <si>
    <t>Beida</t>
  </si>
  <si>
    <t>SD04111</t>
  </si>
  <si>
    <t>Ag Geneina</t>
  </si>
  <si>
    <t>SD04115</t>
  </si>
  <si>
    <t>Foro Baranga</t>
  </si>
  <si>
    <t>SD04121</t>
  </si>
  <si>
    <t>Habila - WD</t>
  </si>
  <si>
    <t>SD04122</t>
  </si>
  <si>
    <t>Jebel Moon</t>
  </si>
  <si>
    <t>SD04123</t>
  </si>
  <si>
    <t>Kereneik</t>
  </si>
  <si>
    <t>SD04125</t>
  </si>
  <si>
    <t>Kulbus</t>
  </si>
  <si>
    <t>SD04127</t>
  </si>
  <si>
    <t>Sirba</t>
  </si>
  <si>
    <t>SD04134</t>
  </si>
  <si>
    <t>East Darfur</t>
  </si>
  <si>
    <t>Adila</t>
  </si>
  <si>
    <t>SD05139</t>
  </si>
  <si>
    <t>Abu Jabrah</t>
  </si>
  <si>
    <t>SD05140</t>
  </si>
  <si>
    <t>Ad Du'ayn</t>
  </si>
  <si>
    <t>SD05142</t>
  </si>
  <si>
    <t>Shia'ria</t>
  </si>
  <si>
    <t>SD05148</t>
  </si>
  <si>
    <t>Al Firdous</t>
  </si>
  <si>
    <t>SD05152</t>
  </si>
  <si>
    <t>Abu Karinka</t>
  </si>
  <si>
    <t>SD05155</t>
  </si>
  <si>
    <t>Bahr Al Arab</t>
  </si>
  <si>
    <t>SD05160</t>
  </si>
  <si>
    <t>Assalaya</t>
  </si>
  <si>
    <t>SD05163</t>
  </si>
  <si>
    <t>Yassin</t>
  </si>
  <si>
    <t>SD05165</t>
  </si>
  <si>
    <t>Central Darfur</t>
  </si>
  <si>
    <t>Azum</t>
  </si>
  <si>
    <t>SD06110</t>
  </si>
  <si>
    <t>Bendasi</t>
  </si>
  <si>
    <t>SD06112</t>
  </si>
  <si>
    <t>Mukjar</t>
  </si>
  <si>
    <t>SD06130</t>
  </si>
  <si>
    <t>Gharb Jabal Marrah</t>
  </si>
  <si>
    <t>SD06131</t>
  </si>
  <si>
    <t>Shamal Jabal Marrah</t>
  </si>
  <si>
    <t>SD06132</t>
  </si>
  <si>
    <t>Um Dukhun</t>
  </si>
  <si>
    <t>SD06135</t>
  </si>
  <si>
    <t>Wadi Salih</t>
  </si>
  <si>
    <t>SD06137</t>
  </si>
  <si>
    <t>Zalingi</t>
  </si>
  <si>
    <t>SD06138</t>
  </si>
  <si>
    <t>Wasat Jabal Marrah</t>
  </si>
  <si>
    <t>SD06139</t>
  </si>
  <si>
    <t>South Kordofan</t>
  </si>
  <si>
    <t>Abu Jubayhah</t>
  </si>
  <si>
    <t>SD07088</t>
  </si>
  <si>
    <t>Talawdi</t>
  </si>
  <si>
    <t>SD07089</t>
  </si>
  <si>
    <t>Abassiya</t>
  </si>
  <si>
    <t>SD07090</t>
  </si>
  <si>
    <t>Um Durein</t>
  </si>
  <si>
    <t>SD07091</t>
  </si>
  <si>
    <t>Ar Rashad</t>
  </si>
  <si>
    <t>SD07093</t>
  </si>
  <si>
    <t>Al Quoz</t>
  </si>
  <si>
    <t>SD07094</t>
  </si>
  <si>
    <t>Dilling</t>
  </si>
  <si>
    <t>SD07095</t>
  </si>
  <si>
    <t>Heiban</t>
  </si>
  <si>
    <t>SD07096</t>
  </si>
  <si>
    <t>Ar Reif Ash Shargi</t>
  </si>
  <si>
    <t>SD07097</t>
  </si>
  <si>
    <t>Kadugli</t>
  </si>
  <si>
    <t>SD07098</t>
  </si>
  <si>
    <t>Al Buram</t>
  </si>
  <si>
    <t>SD07099</t>
  </si>
  <si>
    <t>Habila - SK</t>
  </si>
  <si>
    <t>SD07103</t>
  </si>
  <si>
    <t>Abu Kershola</t>
  </si>
  <si>
    <t>SD07104</t>
  </si>
  <si>
    <t>Al Leri</t>
  </si>
  <si>
    <t>SD07105</t>
  </si>
  <si>
    <t>At Tadamon - SK</t>
  </si>
  <si>
    <t>SD07106</t>
  </si>
  <si>
    <t>Delami</t>
  </si>
  <si>
    <t>SD07107</t>
  </si>
  <si>
    <t>Ghadeer</t>
  </si>
  <si>
    <t>SD07108</t>
  </si>
  <si>
    <t>Blue Nile</t>
  </si>
  <si>
    <t>Baw</t>
  </si>
  <si>
    <t>SD08104</t>
  </si>
  <si>
    <t>Ed Damazine</t>
  </si>
  <si>
    <t>SD08105</t>
  </si>
  <si>
    <t>Al Kurmuk</t>
  </si>
  <si>
    <t>SD08106</t>
  </si>
  <si>
    <t>Ar Rusayris</t>
  </si>
  <si>
    <t>SD08107</t>
  </si>
  <si>
    <t>At Tadamon - BN</t>
  </si>
  <si>
    <t>SD08108</t>
  </si>
  <si>
    <t>Geisan</t>
  </si>
  <si>
    <t>SD08109</t>
  </si>
  <si>
    <t>Wad Al Mahi</t>
  </si>
  <si>
    <t>SD08110</t>
  </si>
  <si>
    <t>White Nile</t>
  </si>
  <si>
    <t>Ad Diwaim</t>
  </si>
  <si>
    <t>SD09044</t>
  </si>
  <si>
    <t>Um Rimta</t>
  </si>
  <si>
    <t>SD09045</t>
  </si>
  <si>
    <t>Rabak</t>
  </si>
  <si>
    <t>SD09046</t>
  </si>
  <si>
    <t>Kosti</t>
  </si>
  <si>
    <t>SD09047</t>
  </si>
  <si>
    <t>Tendalti</t>
  </si>
  <si>
    <t>SD09048</t>
  </si>
  <si>
    <t>As Salam / Ar Rawat</t>
  </si>
  <si>
    <t>SD09049</t>
  </si>
  <si>
    <t>Al Gitaina</t>
  </si>
  <si>
    <t>SD09050</t>
  </si>
  <si>
    <t>Aj Jabalain</t>
  </si>
  <si>
    <t>SD09051</t>
  </si>
  <si>
    <t>Guli</t>
  </si>
  <si>
    <t>SD09052</t>
  </si>
  <si>
    <t>Red Sea</t>
  </si>
  <si>
    <t>Dordieb</t>
  </si>
  <si>
    <t>SD10063</t>
  </si>
  <si>
    <t>Port Sudan</t>
  </si>
  <si>
    <t>SD10064</t>
  </si>
  <si>
    <t>Tawkar</t>
  </si>
  <si>
    <t>SD10065</t>
  </si>
  <si>
    <t>Hala'ib</t>
  </si>
  <si>
    <t>SD10066</t>
  </si>
  <si>
    <t>Jubayt Elma'aadin</t>
  </si>
  <si>
    <t>SD10067</t>
  </si>
  <si>
    <t>Sawakin</t>
  </si>
  <si>
    <t>SD10068</t>
  </si>
  <si>
    <t>Al Ganab</t>
  </si>
  <si>
    <t>SD10069</t>
  </si>
  <si>
    <t>Haya</t>
  </si>
  <si>
    <t>SD10070</t>
  </si>
  <si>
    <t>Sinkat</t>
  </si>
  <si>
    <t>SD10071</t>
  </si>
  <si>
    <t>Agig</t>
  </si>
  <si>
    <t>SD10072</t>
  </si>
  <si>
    <t>Kassala</t>
  </si>
  <si>
    <t>Halfa Aj Jadeedah</t>
  </si>
  <si>
    <t>SD11052</t>
  </si>
  <si>
    <t>Madeinat Kassala</t>
  </si>
  <si>
    <t>SD11053</t>
  </si>
  <si>
    <t>Reifi Gharb Kassala</t>
  </si>
  <si>
    <t>SD11054</t>
  </si>
  <si>
    <t>Reifi Aroma</t>
  </si>
  <si>
    <t>SD11055</t>
  </si>
  <si>
    <t>Reifi Kassla</t>
  </si>
  <si>
    <t>SD11056</t>
  </si>
  <si>
    <t>Reifi Shamal Ad Delta</t>
  </si>
  <si>
    <t>SD11057</t>
  </si>
  <si>
    <t>Reifi Hamashkureib</t>
  </si>
  <si>
    <t>SD11058</t>
  </si>
  <si>
    <t>Reifi Telkok</t>
  </si>
  <si>
    <t>SD11059</t>
  </si>
  <si>
    <t>Reifi Khashm Elgirba</t>
  </si>
  <si>
    <t>SD11060</t>
  </si>
  <si>
    <t>Reifi Wad Elhilaiw</t>
  </si>
  <si>
    <t>SD11061</t>
  </si>
  <si>
    <t>Reifi Nahr Atbara</t>
  </si>
  <si>
    <t>SD11062</t>
  </si>
  <si>
    <t>Gedaref</t>
  </si>
  <si>
    <t>Al Butanah</t>
  </si>
  <si>
    <t>SD12073</t>
  </si>
  <si>
    <t>Al Fao</t>
  </si>
  <si>
    <t>SD12074</t>
  </si>
  <si>
    <t>Al Fashaga</t>
  </si>
  <si>
    <t>SD12075</t>
  </si>
  <si>
    <t>Al Qureisha</t>
  </si>
  <si>
    <t>SD12076</t>
  </si>
  <si>
    <t>Basundah</t>
  </si>
  <si>
    <t>SD12077</t>
  </si>
  <si>
    <t>Al Galabat Al Gharbyah - Kassab</t>
  </si>
  <si>
    <t>SD12078</t>
  </si>
  <si>
    <t>Gala'a Al Nahal</t>
  </si>
  <si>
    <t>SD12079</t>
  </si>
  <si>
    <t>Madeinat Al Gedaref</t>
  </si>
  <si>
    <t>SD12080</t>
  </si>
  <si>
    <t>Wasat Al Gedaref</t>
  </si>
  <si>
    <t>SD12081</t>
  </si>
  <si>
    <t>Al Mafaza</t>
  </si>
  <si>
    <t>SD12082</t>
  </si>
  <si>
    <t>Galabat Ash-Shargiah</t>
  </si>
  <si>
    <t>SD12083</t>
  </si>
  <si>
    <t>Ar Rahad</t>
  </si>
  <si>
    <t>SD12084</t>
  </si>
  <si>
    <t>North Kordofan</t>
  </si>
  <si>
    <t>Um Rawaba</t>
  </si>
  <si>
    <t>SD13023</t>
  </si>
  <si>
    <t>Sheikan</t>
  </si>
  <si>
    <t>SD13024</t>
  </si>
  <si>
    <t>Soudari</t>
  </si>
  <si>
    <t>SD13025</t>
  </si>
  <si>
    <t>Bara</t>
  </si>
  <si>
    <t>SD13026</t>
  </si>
  <si>
    <t>Gebrat Al Sheikh</t>
  </si>
  <si>
    <t>SD13027</t>
  </si>
  <si>
    <t>Um Dam Haj Ahmed</t>
  </si>
  <si>
    <t>SD13028</t>
  </si>
  <si>
    <t>Gharb Bara</t>
  </si>
  <si>
    <t>SD13029</t>
  </si>
  <si>
    <t>SD13030</t>
  </si>
  <si>
    <t>Sennar</t>
  </si>
  <si>
    <t>Abu Hujar</t>
  </si>
  <si>
    <t>SD14037</t>
  </si>
  <si>
    <t>SD14038</t>
  </si>
  <si>
    <t>Ad Dali</t>
  </si>
  <si>
    <t>SD14039</t>
  </si>
  <si>
    <t>Ad Dinder</t>
  </si>
  <si>
    <t>SD14040</t>
  </si>
  <si>
    <t>As Suki</t>
  </si>
  <si>
    <t>SD14041</t>
  </si>
  <si>
    <t>Sharg Sennar</t>
  </si>
  <si>
    <t>SD14042</t>
  </si>
  <si>
    <t>Sinja</t>
  </si>
  <si>
    <t>SD14043</t>
  </si>
  <si>
    <t>Aj Jazirah</t>
  </si>
  <si>
    <t>Medani Al Kubra</t>
  </si>
  <si>
    <t>SD15030</t>
  </si>
  <si>
    <t>Janub Al Jazirah</t>
  </si>
  <si>
    <t>SD15031</t>
  </si>
  <si>
    <t>Um Algura</t>
  </si>
  <si>
    <t>SD15032</t>
  </si>
  <si>
    <t>Sharg Al Jazirah</t>
  </si>
  <si>
    <t>SD15033</t>
  </si>
  <si>
    <t>Al Hasahisa</t>
  </si>
  <si>
    <t>SD15034</t>
  </si>
  <si>
    <t>Al Kamlin</t>
  </si>
  <si>
    <t>SD15035</t>
  </si>
  <si>
    <t>Al Manaqil</t>
  </si>
  <si>
    <t>SD15036</t>
  </si>
  <si>
    <t>Al Qurashi</t>
  </si>
  <si>
    <t>SD15037</t>
  </si>
  <si>
    <t>River Nile</t>
  </si>
  <si>
    <t>Abu Hamad</t>
  </si>
  <si>
    <t>SD16008</t>
  </si>
  <si>
    <t>Al Matama</t>
  </si>
  <si>
    <t>SD16009</t>
  </si>
  <si>
    <t>Shendi</t>
  </si>
  <si>
    <t>SD16010</t>
  </si>
  <si>
    <t>Ad Damar</t>
  </si>
  <si>
    <t>SD16011</t>
  </si>
  <si>
    <t>Atbara</t>
  </si>
  <si>
    <t>SD16012</t>
  </si>
  <si>
    <t>Barbar</t>
  </si>
  <si>
    <t>SD16013</t>
  </si>
  <si>
    <t>Al Buhaira</t>
  </si>
  <si>
    <t>SD16014</t>
  </si>
  <si>
    <t>Northern</t>
  </si>
  <si>
    <t>Halfa</t>
  </si>
  <si>
    <t>SD17014</t>
  </si>
  <si>
    <t>Delgo</t>
  </si>
  <si>
    <t>SD17015</t>
  </si>
  <si>
    <t>Al Burgaig</t>
  </si>
  <si>
    <t>SD17016</t>
  </si>
  <si>
    <t>Dongola</t>
  </si>
  <si>
    <t>SD17017</t>
  </si>
  <si>
    <t>Al Golid</t>
  </si>
  <si>
    <t>SD17018</t>
  </si>
  <si>
    <t>Ad Dabbah</t>
  </si>
  <si>
    <t>SD17019</t>
  </si>
  <si>
    <t>Merwoe</t>
  </si>
  <si>
    <t>SD17020</t>
  </si>
  <si>
    <t>West Kordofan</t>
  </si>
  <si>
    <t>Ghubaish</t>
  </si>
  <si>
    <t>SD18021</t>
  </si>
  <si>
    <t>An Nuhud</t>
  </si>
  <si>
    <t>SD18022</t>
  </si>
  <si>
    <t>Abu Zabad</t>
  </si>
  <si>
    <t>SD18028</t>
  </si>
  <si>
    <t>Wad Bandah</t>
  </si>
  <si>
    <t>SD18029</t>
  </si>
  <si>
    <t>Keilak</t>
  </si>
  <si>
    <t>SD18085</t>
  </si>
  <si>
    <t>As Salam - WK</t>
  </si>
  <si>
    <t>SD18086</t>
  </si>
  <si>
    <t>Abyei</t>
  </si>
  <si>
    <t>SD18087</t>
  </si>
  <si>
    <t>As Sunut</t>
  </si>
  <si>
    <t>SD18092</t>
  </si>
  <si>
    <t>Babanusa</t>
  </si>
  <si>
    <t>SD18100</t>
  </si>
  <si>
    <t>Al Lagowa</t>
  </si>
  <si>
    <t>SD18102</t>
  </si>
  <si>
    <t>Al Dibab</t>
  </si>
  <si>
    <t>SD18103</t>
  </si>
  <si>
    <t>Al Idia</t>
  </si>
  <si>
    <t>SD18104</t>
  </si>
  <si>
    <t>Al Khiwai</t>
  </si>
  <si>
    <t>SD18105</t>
  </si>
  <si>
    <t>Al Meiram</t>
  </si>
  <si>
    <t>SD18106</t>
  </si>
  <si>
    <t># CP Partners</t>
  </si>
  <si>
    <t># MA Partners</t>
  </si>
  <si>
    <t># GBV Partners</t>
  </si>
  <si>
    <t>People Reached Protection</t>
  </si>
  <si>
    <t>People Reached CP</t>
  </si>
  <si>
    <t>People Reached GBV</t>
  </si>
  <si>
    <t>People Reached MA</t>
  </si>
  <si>
    <t>Priority</t>
  </si>
  <si>
    <t>Severity</t>
  </si>
  <si>
    <t>#Protection Partners</t>
  </si>
  <si>
    <t>Access feasability</t>
  </si>
  <si>
    <t>Moderate</t>
  </si>
  <si>
    <t>Substantial</t>
  </si>
  <si>
    <t>Low</t>
  </si>
  <si>
    <t>Very High</t>
  </si>
  <si>
    <t>High</t>
  </si>
  <si>
    <t>Very Low</t>
  </si>
  <si>
    <t>2026 - Final Severity of Needs</t>
  </si>
  <si>
    <t>OVERALL REACHED</t>
  </si>
  <si>
    <t>OVERALL PARTNERS</t>
  </si>
  <si>
    <t>ACCESS SCORE</t>
  </si>
  <si>
    <t>TOTAL SCORE</t>
  </si>
  <si>
    <t>PARTNER PRESENCE SCORE</t>
  </si>
  <si>
    <r>
      <rPr>
        <b/>
        <i/>
        <u/>
        <sz val="11"/>
        <color rgb="FFFF0000"/>
        <rFont val="Aptos Narrow"/>
        <family val="2"/>
      </rPr>
      <t xml:space="preserve">'Neglected' </t>
    </r>
    <r>
      <rPr>
        <b/>
        <sz val="11"/>
        <color theme="1" tint="4.9989318521683403E-2"/>
        <rFont val="Aptos Narrow"/>
        <family val="2"/>
      </rPr>
      <t>LOCATION SCORE (REACHED)</t>
    </r>
  </si>
  <si>
    <t>CODs</t>
  </si>
  <si>
    <t>Critical Priority</t>
  </si>
  <si>
    <t>High Priority</t>
  </si>
  <si>
    <t>Medium Priority</t>
  </si>
  <si>
    <t>Low Priority</t>
  </si>
  <si>
    <t>Very Low Priority</t>
  </si>
  <si>
    <t>Target Coverage</t>
  </si>
  <si>
    <t>The target will be done based on the following conditions:</t>
  </si>
  <si>
    <t>2025 - Targets</t>
  </si>
  <si>
    <t>Target 2025</t>
  </si>
  <si>
    <t>Target Caseload</t>
  </si>
  <si>
    <t>2026 - PiN</t>
  </si>
  <si>
    <t xml:space="preserve">SEVERITY &amp; PiN 2026 </t>
  </si>
  <si>
    <t>PRIORITY &amp; TARGETS</t>
  </si>
  <si>
    <t>Coverage % of PiN</t>
  </si>
  <si>
    <r>
      <t xml:space="preserve">1. ACCESS </t>
    </r>
    <r>
      <rPr>
        <b/>
        <sz val="16"/>
        <color rgb="FFFF0000"/>
        <rFont val="Aptos Narrow"/>
        <family val="2"/>
        <scheme val="minor"/>
      </rPr>
      <t>(MAX SCORE : 5)</t>
    </r>
  </si>
  <si>
    <r>
      <t xml:space="preserve">2. PARTNER PRESENCE </t>
    </r>
    <r>
      <rPr>
        <b/>
        <sz val="16"/>
        <color rgb="FFFF0000"/>
        <rFont val="Aptos Narrow"/>
        <family val="2"/>
        <scheme val="minor"/>
      </rPr>
      <t>(MAX SCORE : 1)</t>
    </r>
  </si>
  <si>
    <r>
      <t xml:space="preserve">3. REACHED </t>
    </r>
    <r>
      <rPr>
        <b/>
        <sz val="16"/>
        <color rgb="FFFF0000"/>
        <rFont val="Aptos Narrow"/>
        <family val="2"/>
        <scheme val="minor"/>
      </rPr>
      <t>(MAX SCORE : 2)</t>
    </r>
  </si>
  <si>
    <t xml:space="preserve"> (MAX SCORE : 8)</t>
  </si>
  <si>
    <t>Target - IDPs</t>
  </si>
  <si>
    <t xml:space="preserve"> Target - Returnees</t>
  </si>
  <si>
    <t xml:space="preserve"> Target - Refugees in Sudan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</si>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</sst>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FFFF"/>
      <name val="Aptos Narrow"/>
      <family val="2"/>
    </font>
    <font>
      <sz val="11"/>
      <color rgb="FF000000"/>
      <name val="Aptos Narrow"/>
      <family val="2"/>
    </font>
    <font>
      <sz val="11"/>
      <color rgb="FFFF0000"/>
      <name val="Aptos Narrow"/>
      <family val="2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1" tint="4.9989318521683403E-2"/>
      <name val="Aptos Narrow"/>
      <family val="2"/>
    </font>
    <font>
      <b/>
      <i/>
      <u/>
      <sz val="11"/>
      <color rgb="FFFF0000"/>
      <name val="Aptos Narrow"/>
      <family val="2"/>
    </font>
    <font>
      <b/>
      <sz val="16"/>
      <color theme="3" tint="0.249977111117893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16"/>
      <color theme="4" tint="0.39997558519241921"/>
      <name val="Aptos Narrow"/>
      <family val="2"/>
      <scheme val="minor"/>
    </font>
    <font>
      <b/>
      <sz val="16"/>
      <color theme="5" tint="-0.499984740745262"/>
      <name val="Aptos Narrow"/>
      <family val="2"/>
      <scheme val="minor"/>
    </font>
    <font>
      <b/>
      <sz val="12"/>
      <color rgb="FFFF0000"/>
      <name val="Aptos Narrow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  <fill>
      <patternFill patternType="solid">
        <fgColor rgb="FFFFFF00"/>
        <bgColor rgb="FF000000"/>
      </patternFill>
    </fill>
    <fill>
      <patternFill patternType="solid">
        <fgColor rgb="FFC00000"/>
        <bgColor rgb="FF156082"/>
      </patternFill>
    </fill>
    <fill>
      <patternFill patternType="solid">
        <fgColor rgb="FF00B0F0"/>
        <bgColor rgb="FF156082"/>
      </patternFill>
    </fill>
    <fill>
      <patternFill patternType="solid">
        <fgColor theme="5" tint="-0.249977111117893"/>
        <bgColor rgb="FF156082"/>
      </patternFill>
    </fill>
    <fill>
      <patternFill patternType="solid">
        <fgColor theme="3" tint="0.499984740745262"/>
        <bgColor rgb="FF156082"/>
      </patternFill>
    </fill>
    <fill>
      <patternFill patternType="solid">
        <fgColor rgb="FF760000"/>
        <bgColor rgb="FF156082"/>
      </patternFill>
    </fill>
    <fill>
      <patternFill patternType="solid">
        <fgColor theme="6" tint="-0.249977111117893"/>
        <bgColor rgb="FF156082"/>
      </patternFill>
    </fill>
    <fill>
      <patternFill patternType="solid">
        <fgColor rgb="FFFFFF00"/>
        <bgColor rgb="FF156082"/>
      </patternFill>
    </fill>
    <fill>
      <patternFill patternType="solid">
        <fgColor rgb="FFDBD600"/>
        <bgColor rgb="FF15608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rgb="FFFFFF6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33CAFF"/>
        <bgColor rgb="FF156082"/>
      </patternFill>
    </fill>
    <fill>
      <patternFill patternType="solid">
        <fgColor rgb="FF23A2DB"/>
        <bgColor rgb="FF156082"/>
      </patternFill>
    </fill>
  </fills>
  <borders count="10">
    <border>
      <left/>
      <right/>
      <top/>
      <bottom/>
      <diagonal/>
    </border>
    <border>
      <left/>
      <right/>
      <top style="thin">
        <color rgb="FF44B3E1"/>
      </top>
      <bottom style="thin">
        <color rgb="FF44B3E1"/>
      </bottom>
      <diagonal/>
    </border>
    <border>
      <left/>
      <right/>
      <top/>
      <bottom style="thin">
        <color rgb="FF44B3E1"/>
      </bottom>
      <diagonal/>
    </border>
    <border>
      <left/>
      <right/>
      <top style="thin">
        <color rgb="FF44B3E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3" fillId="3" borderId="1" xfId="0" applyFont="1" applyFill="1" applyBorder="1"/>
    <xf numFmtId="3" fontId="3" fillId="3" borderId="1" xfId="0" applyNumberFormat="1" applyFont="1" applyFill="1" applyBorder="1"/>
    <xf numFmtId="0" fontId="3" fillId="0" borderId="1" xfId="0" applyFont="1" applyBorder="1"/>
    <xf numFmtId="3" fontId="3" fillId="0" borderId="1" xfId="0" applyNumberFormat="1" applyFont="1" applyBorder="1"/>
    <xf numFmtId="0" fontId="4" fillId="0" borderId="1" xfId="0" applyFont="1" applyBorder="1"/>
    <xf numFmtId="0" fontId="4" fillId="3" borderId="1" xfId="0" applyFont="1" applyFill="1" applyBorder="1"/>
    <xf numFmtId="0" fontId="3" fillId="0" borderId="3" xfId="0" applyFont="1" applyBorder="1"/>
    <xf numFmtId="3" fontId="3" fillId="0" borderId="3" xfId="0" applyNumberFormat="1" applyFont="1" applyBorder="1"/>
    <xf numFmtId="3" fontId="3" fillId="0" borderId="2" xfId="0" applyNumberFormat="1" applyFont="1" applyBorder="1"/>
    <xf numFmtId="3" fontId="3" fillId="3" borderId="2" xfId="0" applyNumberFormat="1" applyFont="1" applyFill="1" applyBorder="1"/>
    <xf numFmtId="0" fontId="0" fillId="0" borderId="0" xfId="0" applyAlignment="1">
      <alignment wrapText="1"/>
    </xf>
    <xf numFmtId="3" fontId="3" fillId="4" borderId="1" xfId="0" applyNumberFormat="1" applyFont="1" applyFill="1" applyBorder="1"/>
    <xf numFmtId="9" fontId="3" fillId="0" borderId="1" xfId="1" applyFont="1" applyBorder="1"/>
    <xf numFmtId="9" fontId="3" fillId="0" borderId="3" xfId="1" applyFont="1" applyBorder="1"/>
    <xf numFmtId="9" fontId="3" fillId="0" borderId="2" xfId="1" applyFont="1" applyBorder="1"/>
    <xf numFmtId="9" fontId="0" fillId="0" borderId="0" xfId="1" applyFont="1"/>
    <xf numFmtId="0" fontId="6" fillId="0" borderId="0" xfId="0" applyFont="1"/>
    <xf numFmtId="0" fontId="3" fillId="3" borderId="2" xfId="0" applyFont="1" applyFill="1" applyBorder="1"/>
    <xf numFmtId="0" fontId="2" fillId="6" borderId="4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9" fontId="2" fillId="9" borderId="4" xfId="1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11" borderId="4" xfId="0" quotePrefix="1" applyFont="1" applyFill="1" applyBorder="1" applyAlignment="1">
      <alignment horizontal="center" vertical="center" wrapText="1"/>
    </xf>
    <xf numFmtId="0" fontId="8" fillId="12" borderId="4" xfId="0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3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3" fillId="14" borderId="2" xfId="0" applyNumberFormat="1" applyFont="1" applyFill="1" applyBorder="1" applyAlignment="1">
      <alignment horizontal="center" vertical="center"/>
    </xf>
    <xf numFmtId="3" fontId="3" fillId="14" borderId="1" xfId="0" applyNumberFormat="1" applyFont="1" applyFill="1" applyBorder="1" applyAlignment="1">
      <alignment horizontal="center" vertical="center"/>
    </xf>
    <xf numFmtId="3" fontId="3" fillId="14" borderId="3" xfId="0" applyNumberFormat="1" applyFont="1" applyFill="1" applyBorder="1" applyAlignment="1">
      <alignment horizontal="center" vertical="center"/>
    </xf>
    <xf numFmtId="3" fontId="3" fillId="15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7" fillId="17" borderId="0" xfId="0" applyFont="1" applyFill="1" applyAlignment="1">
      <alignment horizontal="center" vertical="center"/>
    </xf>
    <xf numFmtId="0" fontId="7" fillId="19" borderId="0" xfId="0" applyFont="1" applyFill="1" applyAlignment="1">
      <alignment horizontal="center" vertical="center"/>
    </xf>
    <xf numFmtId="0" fontId="0" fillId="20" borderId="0" xfId="0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9" borderId="8" xfId="0" applyFont="1" applyFill="1" applyBorder="1" applyAlignment="1">
      <alignment horizontal="center" vertical="center"/>
    </xf>
    <xf numFmtId="0" fontId="0" fillId="20" borderId="8" xfId="0" applyFill="1" applyBorder="1" applyAlignment="1">
      <alignment horizontal="center" vertical="center"/>
    </xf>
    <xf numFmtId="0" fontId="12" fillId="16" borderId="4" xfId="0" applyFont="1" applyFill="1" applyBorder="1" applyAlignment="1">
      <alignment horizontal="center" wrapText="1"/>
    </xf>
    <xf numFmtId="164" fontId="3" fillId="0" borderId="0" xfId="2" applyNumberFormat="1" applyFont="1"/>
    <xf numFmtId="0" fontId="2" fillId="2" borderId="9" xfId="0" applyFont="1" applyFill="1" applyBorder="1" applyAlignment="1">
      <alignment horizontal="center" vertical="center" wrapText="1"/>
    </xf>
    <xf numFmtId="0" fontId="14" fillId="0" borderId="4" xfId="0" applyFont="1" applyBorder="1"/>
    <xf numFmtId="0" fontId="2" fillId="22" borderId="4" xfId="0" applyFont="1" applyFill="1" applyBorder="1" applyAlignment="1">
      <alignment horizontal="center" vertical="center" wrapText="1"/>
    </xf>
    <xf numFmtId="0" fontId="0" fillId="0" borderId="3" xfId="0" applyBorder="1"/>
    <xf numFmtId="0" fontId="2" fillId="23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14" borderId="3" xfId="0" applyFont="1" applyFill="1" applyBorder="1" applyAlignment="1">
      <alignment horizontal="center" vertical="center"/>
    </xf>
    <xf numFmtId="164" fontId="3" fillId="0" borderId="3" xfId="0" applyNumberFormat="1" applyFont="1" applyBorder="1"/>
    <xf numFmtId="164" fontId="0" fillId="0" borderId="3" xfId="0" applyNumberFormat="1" applyBorder="1"/>
    <xf numFmtId="0" fontId="10" fillId="16" borderId="4" xfId="0" applyFont="1" applyFill="1" applyBorder="1" applyAlignment="1">
      <alignment horizontal="center" wrapText="1"/>
    </xf>
    <xf numFmtId="0" fontId="10" fillId="13" borderId="5" xfId="0" applyFont="1" applyFill="1" applyBorder="1" applyAlignment="1">
      <alignment horizontal="center" wrapText="1"/>
    </xf>
    <xf numFmtId="0" fontId="10" fillId="13" borderId="6" xfId="0" applyFont="1" applyFill="1" applyBorder="1" applyAlignment="1">
      <alignment horizontal="center" wrapText="1"/>
    </xf>
    <xf numFmtId="0" fontId="10" fillId="13" borderId="7" xfId="0" applyFont="1" applyFill="1" applyBorder="1" applyAlignment="1">
      <alignment horizontal="center" wrapText="1"/>
    </xf>
    <xf numFmtId="0" fontId="13" fillId="13" borderId="4" xfId="0" applyFont="1" applyFill="1" applyBorder="1" applyAlignment="1">
      <alignment horizontal="center" wrapText="1"/>
    </xf>
  </cellXfs>
  <cellStyles count="3">
    <cellStyle name="Comma" xfId="2" builtinId="3"/>
    <cellStyle name="Normal" xfId="0" builtinId="0"/>
    <cellStyle name="Percent" xfId="1" builtinId="5"/>
  </cellStyles>
  <dxfs count="75">
    <dxf>
      <font>
        <color theme="0"/>
      </font>
      <fill>
        <patternFill>
          <bgColor theme="5" tint="-0.499984740745262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4" formatCode="_(* #,##0_);_(* \(#,##0\);_(* &quot;-&quot;??_);_(@_)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0" formatCode="General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4" formatCode="_(* #,##0_);_(* \(#,##0\);_(* &quot;-&quot;??_);_(@_)"/>
    </dxf>
    <dxf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4" formatCode="_(* #,##0_);_(* \(#,##0\);_(* &quot;-&quot;??_);_(@_)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0" formatCode="General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3" formatCode="0%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0" formatCode="General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3" formatCode="0%"/>
      <border diagonalUp="0" diagonalDown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3" formatCode="#,##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border outline="0">
        <top style="thin">
          <color rgb="FF44B3E1"/>
        </top>
      </border>
    </dxf>
    <dxf>
      <border outline="0">
        <left style="thin">
          <color rgb="FF44B3E1"/>
        </left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</dxf>
    <dxf>
      <border outline="0">
        <bottom style="thin">
          <color rgb="FF44B3E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family val="2"/>
        <scheme val="none"/>
      </font>
      <fill>
        <patternFill patternType="solid">
          <fgColor rgb="FF156082"/>
          <bgColor rgb="FF156082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23A2DB"/>
      <color rgb="FF33CAFF"/>
      <color rgb="FFFFFF69"/>
      <color rgb="FFFFFFB7"/>
      <color rgb="FFDBD600"/>
      <color rgb="FF7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FF542A-CDEE-43FA-9D40-F0FF04340541}" name="Table1" displayName="Table1" ref="A2:AD191" totalsRowCount="1" headerRowDxfId="74" dataDxfId="72" headerRowBorderDxfId="73" tableBorderDxfId="71" totalsRowBorderDxfId="70">
  <autoFilter ref="A2:AD190" xr:uid="{DDFF542A-CDEE-43FA-9D40-F0FF04340541}"/>
  <tableColumns count="30">
    <tableColumn id="1" xr3:uid="{7A3F5ABD-CDAB-463C-927F-2E04B1B5951A}" name="ADM1_EN" totalsRowLabel="Total" dataDxfId="69" totalsRowDxfId="68"/>
    <tableColumn id="3" xr3:uid="{5E1C9C3B-16DB-466B-8186-609730629B42}" name="ADM2_EN" dataDxfId="67" totalsRowDxfId="66"/>
    <tableColumn id="4" xr3:uid="{3694B722-B673-4AC6-A7D9-C423F9F4CBBC}" name="ADM2_PCODE" dataDxfId="65" totalsRowDxfId="64"/>
    <tableColumn id="6" xr3:uid="{497B3FD3-44F8-48B7-AB3A-C473A8782165}" name=" IDPs " dataDxfId="63" totalsRowDxfId="62"/>
    <tableColumn id="7" xr3:uid="{FD4EC53A-A475-43A1-85D0-A39E347CE904}" name=" Returnees " dataDxfId="61" totalsRowDxfId="60"/>
    <tableColumn id="8" xr3:uid="{3E3AB8B2-4C6C-439A-BAEB-8CAED574D477}" name=" Refugees in Sudan " totalsRowDxfId="59"/>
    <tableColumn id="39" xr3:uid="{09EC4111-DE2B-4FC8-A341-1031B336DB5A}" name="2026 - PiN" dataDxfId="58" totalsRowDxfId="57">
      <calculatedColumnFormula>SUM(Table1[[#This Row],[ IDPs ]:[ Refugees in Sudan ]])</calculatedColumnFormula>
    </tableColumn>
    <tableColumn id="31" xr3:uid="{A2E36804-77B7-4A10-9BBF-A2E98F0CFB6F}" name="2026 - Final Severity of Needs" dataDxfId="56" totalsRowDxfId="55"/>
    <tableColumn id="36" xr3:uid="{071F32C6-A80C-4D5A-A052-DAB081973C44}" name="2025 - Targets" dataDxfId="54" totalsRowDxfId="53"/>
    <tableColumn id="32" xr3:uid="{6CEC5FDD-B5C6-4250-9E76-AD8E0586E27E}" name="Access feasability" dataDxfId="52" totalsRowDxfId="51"/>
    <tableColumn id="33" xr3:uid="{4F3ED484-78EB-436D-A973-A577C242733D}" name="ACCESS SCORE" dataDxfId="50" totalsRowDxfId="49">
      <calculatedColumnFormula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calculatedColumnFormula>
    </tableColumn>
    <tableColumn id="11" xr3:uid="{E5586CE6-5415-4BF4-A32C-620A2F28AB4D}" name="#Protection Partners" dataDxfId="48" totalsRowDxfId="47">
      <calculatedColumnFormula>#REF!-Table1[[#This Row],[''Neglected'' LOCATION SCORE (REACHED)]]</calculatedColumnFormula>
    </tableColumn>
    <tableColumn id="12" xr3:uid="{8B78B47A-1F61-4767-80C4-DBC830FB58C6}" name="# CP Partners" dataDxfId="46" totalsRowDxfId="45"/>
    <tableColumn id="13" xr3:uid="{833D055D-CAB9-4126-987E-82AFBE81B90C}" name="# GBV Partners" dataDxfId="44" totalsRowDxfId="43"/>
    <tableColumn id="14" xr3:uid="{B933E740-F97B-4694-B77A-7A64F2C637FC}" name="# MA Partners" dataDxfId="42" totalsRowDxfId="41"/>
    <tableColumn id="2" xr3:uid="{D3215737-EF85-440C-8549-F06F9C77B577}" name="OVERALL PARTNERS" dataDxfId="40" totalsRowDxfId="39">
      <calculatedColumnFormula>MAX(Table1[[#This Row],['#Protection Partners]:['# MA Partners]])</calculatedColumnFormula>
    </tableColumn>
    <tableColumn id="35" xr3:uid="{52EDFD1D-2320-455A-AB1C-E4A1C40D5FD0}" name="PARTNER PRESENCE SCORE" dataDxfId="38" totalsRowDxfId="37">
      <calculatedColumnFormula>IF(Table1[[#This Row],[OVERALL PARTNERS]]&lt;=0,1,IF(Table1[[#This Row],[OVERALL PARTNERS]]&lt;6,0.5,IF(Table1[[#This Row],[OVERALL PARTNERS]]&lt;10,0,0)))</calculatedColumnFormula>
    </tableColumn>
    <tableColumn id="16" xr3:uid="{8169CF40-4521-43B1-A619-7965A769366F}" name="People Reached Protection" dataDxfId="36" totalsRowDxfId="35"/>
    <tableColumn id="17" xr3:uid="{8AF8C0C7-69B3-4C13-8A21-C4CA0FB2E28B}" name="People Reached CP" dataDxfId="34" totalsRowDxfId="33"/>
    <tableColumn id="18" xr3:uid="{6CD334FC-4A26-4E3A-AB8E-63F208192A37}" name="People Reached GBV" dataDxfId="32" totalsRowDxfId="31"/>
    <tableColumn id="19" xr3:uid="{04362C39-87B6-4F02-BF03-8353B92EDE29}" name="People Reached MA" dataDxfId="30" totalsRowDxfId="29"/>
    <tableColumn id="26" xr3:uid="{900CFF62-AFB8-413A-96A3-32AA2110D48E}" name="OVERALL REACHED" dataDxfId="28" totalsRowDxfId="27" dataCellStyle="Percent">
      <calculatedColumnFormula>MAX(Table1[[#This Row],[People Reached Protection]:[People Reached MA]])/Table1[[#This Row],[2025 - Targets]]</calculatedColumnFormula>
    </tableColumn>
    <tableColumn id="25" xr3:uid="{D8F732B3-408A-4492-95FA-2B9D312DC456}" name="'Neglected' LOCATION SCORE (REACHED)" dataDxfId="26" totalsRowDxfId="25">
      <calculatedColumnFormula>IF(Table1[[#This Row],[OVERALL REACHED]]&gt;50%,0,IF(Table1[[#This Row],[OVERALL REACHED]]&gt;0%,1,2))</calculatedColumnFormula>
    </tableColumn>
    <tableColumn id="28" xr3:uid="{0492F211-21B0-43D5-993F-B57A0DFF6F86}" name="TOTAL SCORE" dataDxfId="24" totalsRowDxfId="23">
      <calculatedColumnFormula>SUM(Table1[[#This Row],[ACCESS SCORE]],Table1[[#This Row],[PARTNER PRESENCE SCORE]],Table1[[#This Row],[''Neglected'' LOCATION SCORE (REACHED)]])</calculatedColumnFormula>
    </tableColumn>
    <tableColumn id="29" xr3:uid="{F424D624-F126-4BC7-AB9D-BD4E2E201E54}" name="Priority" dataDxfId="22" totalsRowDxfId="21">
      <calculatedColumnFormula>IF(Table1[[#This Row],[TOTAL SCORE]]&gt;9,"Critical Priority",IF(Table1[[#This Row],[TOTAL SCORE]]&gt;7,"High Priority",IF(Table1[[#This Row],[TOTAL SCORE]]&gt;5,"Medium Priority",IF(Table1[[#This Row],[TOTAL SCORE]]&gt;3,"Low Priority","Very Low Priority"))))</calculatedColumnFormula>
    </tableColumn>
    <tableColumn id="22" xr3:uid="{AF4C1840-84DC-4F65-B3D7-A6B13D7634FF}" name="Target Coverage" dataDxfId="20" totalsRowDxfId="19" dataCellStyle="Percent">
      <calculatedColumnFormula array="1">_xlfn.XLOOKUP(Table1[[#This Row],[2026 - Final Severity of Needs]]&amp;Table1[[#This Row],[Priority]],'2. Lookup'!A:A&amp;'2. Lookup'!B:B,'2. Lookup'!C:C,0)</calculatedColumnFormula>
    </tableColumn>
    <tableColumn id="37" xr3:uid="{CBC32ECC-F4FE-4F90-B1EB-894FFC345231}" name="Target Caseload" totalsRowFunction="sum" dataDxfId="18" totalsRowDxfId="17" dataCellStyle="Comma">
      <calculatedColumnFormula>Table1[[#This Row],[Target Coverage]]*Table1[[#This Row],[2026 - PiN]]</calculatedColumnFormula>
    </tableColumn>
    <tableColumn id="5" xr3:uid="{FD395B4C-87F2-4999-9C2A-38BF85F46A96}" name="Target - IDPs" totalsRowFunction="sum" dataDxfId="16" totalsRowDxfId="15" dataCellStyle="Comma">
      <calculatedColumnFormula>IFERROR(Table1[[#This Row],[Target Coverage]]*Table1[[#This Row],[ IDPs ]],0)</calculatedColumnFormula>
    </tableColumn>
    <tableColumn id="9" xr3:uid="{8BACC8B4-4E54-4FAF-A06F-B8F98A8F8D6E}" name=" Target - Returnees" totalsRowFunction="sum" dataDxfId="14" totalsRowDxfId="13" dataCellStyle="Comma">
      <calculatedColumnFormula>IFERROR(Table1[[#This Row],[Target Coverage]]*Table1[[#This Row],[ Returnees ]],0)</calculatedColumnFormula>
    </tableColumn>
    <tableColumn id="10" xr3:uid="{8833856B-F6F2-477E-99E5-6F352CE0E671}" name=" Target - Refugees in Sudan" totalsRowFunction="sum" dataDxfId="12" totalsRowDxfId="11" dataCellStyle="Comma">
      <calculatedColumnFormula>IFERROR(Table1[[#This Row],[Target Coverage]]*Table1[[#This Row],[ Refugees in Sudan ]],0)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02BFDA6-5AC7-4247-AE9D-44E1353E5F52}" name="Table2" displayName="Table2" ref="A3:C18" totalsRowShown="0" headerRowDxfId="10" dataDxfId="9">
  <autoFilter ref="A3:C18" xr:uid="{C02BFDA6-5AC7-4247-AE9D-44E1353E5F52}"/>
  <tableColumns count="3">
    <tableColumn id="1" xr3:uid="{46A03984-2A3C-44A1-8CFF-3FC76F44660C}" name="Severity" dataDxfId="8"/>
    <tableColumn id="2" xr3:uid="{BAB2E5B2-FC4A-40BB-9C3B-CF7FBE317BB8}" name="Priority" dataDxfId="7"/>
    <tableColumn id="3" xr3:uid="{94EA0AF8-3A99-47FE-8085-BC826361133E}" name="Coverage % of PiN" dataDxfId="6" dataCellStyle="Percent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C3D27-6831-4873-BF0B-DA19913B6B64}">
  <sheetPr>
    <tabColor rgb="FFC00000"/>
  </sheetPr>
  <dimension ref="A1:AD191"/>
  <sheetViews>
    <sheetView tabSelected="1" zoomScale="80" zoomScaleNormal="80" workbookViewId="0">
      <selection activeCell="K121" sqref="K121"/>
    </sheetView>
  </sheetViews>
  <sheetFormatPr defaultRowHeight="15" x14ac:dyDescent="0.25"/>
  <cols>
    <col min="1" max="2" width="10.7109375" customWidth="1"/>
    <col min="3" max="3" width="14.42578125" customWidth="1"/>
    <col min="5" max="5" width="12.140625" customWidth="1"/>
    <col min="6" max="6" width="19" customWidth="1"/>
    <col min="7" max="7" width="15.85546875" customWidth="1"/>
    <col min="8" max="8" width="22" customWidth="1"/>
    <col min="9" max="9" width="18.7109375" bestFit="1" customWidth="1"/>
    <col min="10" max="10" width="16.28515625" bestFit="1" customWidth="1"/>
    <col min="11" max="11" width="21" bestFit="1" customWidth="1"/>
    <col min="12" max="12" width="12.42578125" customWidth="1"/>
    <col min="13" max="13" width="9.5703125" customWidth="1"/>
    <col min="14" max="14" width="11.5703125" customWidth="1"/>
    <col min="15" max="15" width="10.85546875" customWidth="1"/>
    <col min="16" max="16" width="12" customWidth="1"/>
    <col min="17" max="17" width="11.140625" customWidth="1"/>
    <col min="18" max="18" width="11.85546875" customWidth="1"/>
    <col min="19" max="19" width="14.7109375" customWidth="1"/>
    <col min="20" max="20" width="10.7109375" customWidth="1"/>
    <col min="21" max="21" width="12.42578125" style="16" customWidth="1"/>
    <col min="22" max="22" width="12.42578125" customWidth="1"/>
    <col min="23" max="23" width="12.140625" customWidth="1"/>
    <col min="24" max="24" width="19.140625" bestFit="1" customWidth="1"/>
    <col min="25" max="25" width="15" bestFit="1" customWidth="1"/>
    <col min="26" max="27" width="12.5703125" customWidth="1"/>
    <col min="28" max="28" width="11.5703125" customWidth="1"/>
    <col min="29" max="29" width="11.42578125" customWidth="1"/>
    <col min="30" max="30" width="18.140625" customWidth="1"/>
  </cols>
  <sheetData>
    <row r="1" spans="1:30" ht="21" customHeight="1" x14ac:dyDescent="0.35">
      <c r="A1" s="59" t="s">
        <v>423</v>
      </c>
      <c r="B1" s="59"/>
      <c r="C1" s="59"/>
      <c r="D1" s="59" t="s">
        <v>435</v>
      </c>
      <c r="E1" s="59"/>
      <c r="F1" s="59"/>
      <c r="G1" s="59"/>
      <c r="H1" s="59"/>
      <c r="I1" s="48" t="s">
        <v>432</v>
      </c>
      <c r="J1" s="60" t="s">
        <v>438</v>
      </c>
      <c r="K1" s="61"/>
      <c r="L1" s="60" t="s">
        <v>439</v>
      </c>
      <c r="M1" s="62"/>
      <c r="N1" s="62"/>
      <c r="O1" s="62"/>
      <c r="P1" s="62"/>
      <c r="Q1" s="61"/>
      <c r="R1" s="60" t="s">
        <v>440</v>
      </c>
      <c r="S1" s="62"/>
      <c r="T1" s="62"/>
      <c r="U1" s="62"/>
      <c r="V1" s="62">
        <v>5</v>
      </c>
      <c r="W1" s="61">
        <v>2</v>
      </c>
      <c r="X1" s="51" t="s">
        <v>441</v>
      </c>
      <c r="Y1" s="63" t="s">
        <v>436</v>
      </c>
      <c r="Z1" s="63"/>
      <c r="AA1" s="63"/>
      <c r="AB1" s="63"/>
      <c r="AC1" s="63"/>
      <c r="AD1" s="63"/>
    </row>
    <row r="2" spans="1:30" s="11" customFormat="1" ht="72.75" customHeight="1" x14ac:dyDescent="0.25">
      <c r="A2" s="21" t="s">
        <v>0</v>
      </c>
      <c r="B2" s="21" t="s">
        <v>1</v>
      </c>
      <c r="C2" s="21" t="s">
        <v>2</v>
      </c>
      <c r="D2" s="52" t="s">
        <v>3</v>
      </c>
      <c r="E2" s="52" t="s">
        <v>4</v>
      </c>
      <c r="F2" s="52" t="s">
        <v>5</v>
      </c>
      <c r="G2" s="19" t="s">
        <v>434</v>
      </c>
      <c r="H2" s="19" t="s">
        <v>416</v>
      </c>
      <c r="I2" s="20" t="s">
        <v>431</v>
      </c>
      <c r="J2" s="24" t="s">
        <v>409</v>
      </c>
      <c r="K2" s="25" t="s">
        <v>419</v>
      </c>
      <c r="L2" s="23" t="s">
        <v>408</v>
      </c>
      <c r="M2" s="23" t="s">
        <v>399</v>
      </c>
      <c r="N2" s="23" t="s">
        <v>401</v>
      </c>
      <c r="O2" s="23" t="s">
        <v>400</v>
      </c>
      <c r="P2" s="22" t="s">
        <v>418</v>
      </c>
      <c r="Q2" s="25" t="s">
        <v>421</v>
      </c>
      <c r="R2" s="23" t="s">
        <v>402</v>
      </c>
      <c r="S2" s="23" t="s">
        <v>403</v>
      </c>
      <c r="T2" s="23" t="s">
        <v>404</v>
      </c>
      <c r="U2" s="23" t="s">
        <v>405</v>
      </c>
      <c r="V2" s="22" t="s">
        <v>417</v>
      </c>
      <c r="W2" s="26" t="s">
        <v>422</v>
      </c>
      <c r="X2" s="27" t="s">
        <v>420</v>
      </c>
      <c r="Y2" s="50" t="s">
        <v>406</v>
      </c>
      <c r="Z2" s="50" t="s">
        <v>429</v>
      </c>
      <c r="AA2" s="50" t="s">
        <v>433</v>
      </c>
      <c r="AB2" s="54" t="s">
        <v>442</v>
      </c>
      <c r="AC2" s="54" t="s">
        <v>443</v>
      </c>
      <c r="AD2" s="54" t="s">
        <v>444</v>
      </c>
    </row>
    <row r="3" spans="1:30" x14ac:dyDescent="0.25">
      <c r="A3" s="18" t="s">
        <v>6</v>
      </c>
      <c r="B3" s="18" t="s">
        <v>7</v>
      </c>
      <c r="C3" s="18" t="s">
        <v>8</v>
      </c>
      <c r="D3" s="10">
        <v>20152</v>
      </c>
      <c r="E3" s="10">
        <v>95153</v>
      </c>
      <c r="F3" s="10">
        <v>6430</v>
      </c>
      <c r="G3" s="10">
        <f>SUM(Table1[[#This Row],[ IDPs ]:[ Refugees in Sudan ]])</f>
        <v>121735</v>
      </c>
      <c r="H3" s="28">
        <v>4</v>
      </c>
      <c r="I3" s="10">
        <v>292990</v>
      </c>
      <c r="J3" s="9" t="s">
        <v>410</v>
      </c>
      <c r="K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3" s="9"/>
      <c r="M3" s="9"/>
      <c r="N3" s="9"/>
      <c r="O3" s="9"/>
      <c r="P3" s="9">
        <f>MAX(Table1[[#This Row],['#Protection Partners]:['# MA Partners]])</f>
        <v>0</v>
      </c>
      <c r="Q3" s="34">
        <f>IF(Table1[[#This Row],[OVERALL PARTNERS]]&lt;=0,1,IF(Table1[[#This Row],[OVERALL PARTNERS]]&lt;6,0.5,IF(Table1[[#This Row],[OVERALL PARTNERS]]&lt;10,0,0)))</f>
        <v>1</v>
      </c>
      <c r="R3" s="9"/>
      <c r="S3" s="9"/>
      <c r="T3" s="9"/>
      <c r="U3" s="9"/>
      <c r="V3" s="15">
        <f>MAX(Table1[[#This Row],[People Reached Protection]:[People Reached MA]])/Table1[[#This Row],[2025 - Targets]]</f>
        <v>0</v>
      </c>
      <c r="W3" s="34">
        <f>IF(Table1[[#This Row],[OVERALL REACHED]]&gt;50%,0,IF(Table1[[#This Row],[OVERALL REACHED]]&gt;0%,1,2))</f>
        <v>2</v>
      </c>
      <c r="X3" s="37">
        <f>SUM(Table1[[#This Row],[ACCESS SCORE]],Table1[[#This Row],[PARTNER PRESENCE SCORE]],Table1[[#This Row],[''Neglected'' LOCATION SCORE (REACHED)]])</f>
        <v>6</v>
      </c>
      <c r="Y3" s="33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" s="15" cm="1">
        <f t="array" ref="Z3">_xlfn.XLOOKUP(Table1[[#This Row],[2026 - Final Severity of Needs]]&amp;Table1[[#This Row],[Priority]],'2. Lookup'!A:A&amp;'2. Lookup'!B:B,'2. Lookup'!C:C,0)</f>
        <v>0.4</v>
      </c>
      <c r="AA3" s="49">
        <f>Table1[[#This Row],[Target Coverage]]*Table1[[#This Row],[2026 - PiN]]</f>
        <v>48694</v>
      </c>
      <c r="AB3" s="49">
        <f>IFERROR(Table1[[#This Row],[Target Coverage]]*Table1[[#This Row],[ IDPs ]],0)</f>
        <v>8060.8</v>
      </c>
      <c r="AC3" s="49">
        <f>IFERROR(Table1[[#This Row],[Target Coverage]]*Table1[[#This Row],[ Returnees ]],0)</f>
        <v>38061.200000000004</v>
      </c>
      <c r="AD3" s="49">
        <f>IFERROR(Table1[[#This Row],[Target Coverage]]*Table1[[#This Row],[ Refugees in Sudan ]],0)</f>
        <v>2572</v>
      </c>
    </row>
    <row r="4" spans="1:30" x14ac:dyDescent="0.25">
      <c r="A4" s="3" t="s">
        <v>6</v>
      </c>
      <c r="B4" s="3" t="s">
        <v>9</v>
      </c>
      <c r="C4" s="3" t="s">
        <v>10</v>
      </c>
      <c r="D4" s="4">
        <v>49846</v>
      </c>
      <c r="E4" s="4">
        <v>79520</v>
      </c>
      <c r="F4" s="4">
        <v>3509</v>
      </c>
      <c r="G4" s="4">
        <f>SUM(Table1[[#This Row],[ IDPs ]:[ Refugees in Sudan ]])</f>
        <v>132875</v>
      </c>
      <c r="H4" s="29">
        <v>3</v>
      </c>
      <c r="I4" s="4">
        <v>281098</v>
      </c>
      <c r="J4" s="4" t="s">
        <v>411</v>
      </c>
      <c r="K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4" s="4"/>
      <c r="M4" s="4"/>
      <c r="N4" s="4"/>
      <c r="O4" s="4"/>
      <c r="P4" s="4">
        <f>MAX(Table1[[#This Row],['#Protection Partners]:['# MA Partners]])</f>
        <v>0</v>
      </c>
      <c r="Q4" s="35">
        <f>IF(Table1[[#This Row],[OVERALL PARTNERS]]&lt;=0,1,IF(Table1[[#This Row],[OVERALL PARTNERS]]&lt;6,0.5,IF(Table1[[#This Row],[OVERALL PARTNERS]]&lt;10,0,0)))</f>
        <v>1</v>
      </c>
      <c r="R4" s="4"/>
      <c r="S4" s="4"/>
      <c r="T4" s="4"/>
      <c r="U4" s="4"/>
      <c r="V4" s="13">
        <f>MAX(Table1[[#This Row],[People Reached Protection]:[People Reached MA]])/Table1[[#This Row],[2025 - Targets]]</f>
        <v>0</v>
      </c>
      <c r="W4" s="34">
        <f>IF(Table1[[#This Row],[OVERALL REACHED]]&gt;50%,0,IF(Table1[[#This Row],[OVERALL REACHED]]&gt;0%,1,2))</f>
        <v>2</v>
      </c>
      <c r="X4" s="37">
        <f>SUM(Table1[[#This Row],[ACCESS SCORE]],Table1[[#This Row],[PARTNER PRESENCE SCORE]],Table1[[#This Row],[''Neglected'' LOCATION SCORE (REACHED)]])</f>
        <v>5</v>
      </c>
      <c r="Y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4" s="13" cm="1">
        <f t="array" ref="Z4">_xlfn.XLOOKUP(Table1[[#This Row],[2026 - Final Severity of Needs]]&amp;Table1[[#This Row],[Priority]],'2. Lookup'!A:A&amp;'2. Lookup'!B:B,'2. Lookup'!C:C,0)</f>
        <v>0.1</v>
      </c>
      <c r="AA4" s="49">
        <f>Table1[[#This Row],[Target Coverage]]*Table1[[#This Row],[2026 - PiN]]</f>
        <v>13287.5</v>
      </c>
      <c r="AB4" s="49">
        <f>IFERROR(Table1[[#This Row],[Target Coverage]]*Table1[[#This Row],[ IDPs ]],0)</f>
        <v>4984.6000000000004</v>
      </c>
      <c r="AC4" s="49">
        <f>IFERROR(Table1[[#This Row],[Target Coverage]]*Table1[[#This Row],[ Returnees ]],0)</f>
        <v>7952</v>
      </c>
      <c r="AD4" s="49">
        <f>IFERROR(Table1[[#This Row],[Target Coverage]]*Table1[[#This Row],[ Refugees in Sudan ]],0)</f>
        <v>350.90000000000003</v>
      </c>
    </row>
    <row r="5" spans="1:30" x14ac:dyDescent="0.25">
      <c r="A5" s="1" t="s">
        <v>6</v>
      </c>
      <c r="B5" s="1" t="s">
        <v>11</v>
      </c>
      <c r="C5" s="1" t="s">
        <v>12</v>
      </c>
      <c r="D5" s="2">
        <v>25227</v>
      </c>
      <c r="E5" s="2">
        <v>229670</v>
      </c>
      <c r="F5" s="2">
        <v>2415</v>
      </c>
      <c r="G5" s="2">
        <f>SUM(Table1[[#This Row],[ IDPs ]:[ Refugees in Sudan ]])</f>
        <v>257312</v>
      </c>
      <c r="H5" s="30">
        <v>4</v>
      </c>
      <c r="I5" s="2">
        <v>133112</v>
      </c>
      <c r="J5" s="4" t="s">
        <v>410</v>
      </c>
      <c r="K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5" s="4"/>
      <c r="M5" s="4"/>
      <c r="N5" s="4"/>
      <c r="O5" s="4"/>
      <c r="P5" s="4">
        <f>MAX(Table1[[#This Row],['#Protection Partners]:['# MA Partners]])</f>
        <v>0</v>
      </c>
      <c r="Q5" s="35">
        <f>IF(Table1[[#This Row],[OVERALL PARTNERS]]&lt;=0,1,IF(Table1[[#This Row],[OVERALL PARTNERS]]&lt;6,0.5,IF(Table1[[#This Row],[OVERALL PARTNERS]]&lt;10,0,0)))</f>
        <v>1</v>
      </c>
      <c r="R5" s="4"/>
      <c r="S5" s="4"/>
      <c r="T5" s="4"/>
      <c r="U5" s="4"/>
      <c r="V5" s="13">
        <f>MAX(Table1[[#This Row],[People Reached Protection]:[People Reached MA]])/Table1[[#This Row],[2025 - Targets]]</f>
        <v>0</v>
      </c>
      <c r="W5" s="34">
        <f>IF(Table1[[#This Row],[OVERALL REACHED]]&gt;50%,0,IF(Table1[[#This Row],[OVERALL REACHED]]&gt;0%,1,2))</f>
        <v>2</v>
      </c>
      <c r="X5" s="37">
        <f>SUM(Table1[[#This Row],[ACCESS SCORE]],Table1[[#This Row],[PARTNER PRESENCE SCORE]],Table1[[#This Row],[''Neglected'' LOCATION SCORE (REACHED)]])</f>
        <v>6</v>
      </c>
      <c r="Y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5" s="13" cm="1">
        <f t="array" ref="Z5">_xlfn.XLOOKUP(Table1[[#This Row],[2026 - Final Severity of Needs]]&amp;Table1[[#This Row],[Priority]],'2. Lookup'!A:A&amp;'2. Lookup'!B:B,'2. Lookup'!C:C,0)</f>
        <v>0.4</v>
      </c>
      <c r="AA5" s="49">
        <f>Table1[[#This Row],[Target Coverage]]*Table1[[#This Row],[2026 - PiN]]</f>
        <v>102924.8</v>
      </c>
      <c r="AB5" s="49">
        <f>IFERROR(Table1[[#This Row],[Target Coverage]]*Table1[[#This Row],[ IDPs ]],0)</f>
        <v>10090.800000000001</v>
      </c>
      <c r="AC5" s="49">
        <f>IFERROR(Table1[[#This Row],[Target Coverage]]*Table1[[#This Row],[ Returnees ]],0)</f>
        <v>91868</v>
      </c>
      <c r="AD5" s="49">
        <f>IFERROR(Table1[[#This Row],[Target Coverage]]*Table1[[#This Row],[ Refugees in Sudan ]],0)</f>
        <v>966</v>
      </c>
    </row>
    <row r="6" spans="1:30" x14ac:dyDescent="0.25">
      <c r="A6" s="3" t="s">
        <v>6</v>
      </c>
      <c r="B6" s="3" t="s">
        <v>13</v>
      </c>
      <c r="C6" s="3" t="s">
        <v>14</v>
      </c>
      <c r="D6" s="4">
        <v>28213</v>
      </c>
      <c r="E6" s="4">
        <v>61143</v>
      </c>
      <c r="F6" s="4">
        <v>5925</v>
      </c>
      <c r="G6" s="4">
        <f>SUM(Table1[[#This Row],[ IDPs ]:[ Refugees in Sudan ]])</f>
        <v>95281</v>
      </c>
      <c r="H6" s="29">
        <v>3</v>
      </c>
      <c r="I6" s="4">
        <v>191926</v>
      </c>
      <c r="J6" s="4" t="s">
        <v>412</v>
      </c>
      <c r="K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6" s="4"/>
      <c r="M6" s="4"/>
      <c r="N6" s="4"/>
      <c r="O6" s="4"/>
      <c r="P6" s="4">
        <f>MAX(Table1[[#This Row],['#Protection Partners]:['# MA Partners]])</f>
        <v>0</v>
      </c>
      <c r="Q6" s="35">
        <f>IF(Table1[[#This Row],[OVERALL PARTNERS]]&lt;=0,1,IF(Table1[[#This Row],[OVERALL PARTNERS]]&lt;6,0.5,IF(Table1[[#This Row],[OVERALL PARTNERS]]&lt;10,0,0)))</f>
        <v>1</v>
      </c>
      <c r="R6" s="4"/>
      <c r="S6" s="4"/>
      <c r="T6" s="4"/>
      <c r="U6" s="4"/>
      <c r="V6" s="13">
        <f>MAX(Table1[[#This Row],[People Reached Protection]:[People Reached MA]])/Table1[[#This Row],[2025 - Targets]]</f>
        <v>0</v>
      </c>
      <c r="W6" s="34">
        <f>IF(Table1[[#This Row],[OVERALL REACHED]]&gt;50%,0,IF(Table1[[#This Row],[OVERALL REACHED]]&gt;0%,1,2))</f>
        <v>2</v>
      </c>
      <c r="X6" s="37">
        <f>SUM(Table1[[#This Row],[ACCESS SCORE]],Table1[[#This Row],[PARTNER PRESENCE SCORE]],Table1[[#This Row],[''Neglected'' LOCATION SCORE (REACHED)]])</f>
        <v>7</v>
      </c>
      <c r="Y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" s="13" cm="1">
        <f t="array" ref="Z6">_xlfn.XLOOKUP(Table1[[#This Row],[2026 - Final Severity of Needs]]&amp;Table1[[#This Row],[Priority]],'2. Lookup'!A:A&amp;'2. Lookup'!B:B,'2. Lookup'!C:C,0)</f>
        <v>0.2</v>
      </c>
      <c r="AA6" s="49">
        <f>Table1[[#This Row],[Target Coverage]]*Table1[[#This Row],[2026 - PiN]]</f>
        <v>19056.2</v>
      </c>
      <c r="AB6" s="49">
        <f>IFERROR(Table1[[#This Row],[Target Coverage]]*Table1[[#This Row],[ IDPs ]],0)</f>
        <v>5642.6</v>
      </c>
      <c r="AC6" s="49">
        <f>IFERROR(Table1[[#This Row],[Target Coverage]]*Table1[[#This Row],[ Returnees ]],0)</f>
        <v>12228.6</v>
      </c>
      <c r="AD6" s="49">
        <f>IFERROR(Table1[[#This Row],[Target Coverage]]*Table1[[#This Row],[ Refugees in Sudan ]],0)</f>
        <v>1185</v>
      </c>
    </row>
    <row r="7" spans="1:30" x14ac:dyDescent="0.25">
      <c r="A7" s="1" t="s">
        <v>6</v>
      </c>
      <c r="B7" s="1" t="s">
        <v>15</v>
      </c>
      <c r="C7" s="1" t="s">
        <v>16</v>
      </c>
      <c r="D7" s="2">
        <v>120392</v>
      </c>
      <c r="E7" s="2">
        <v>23977</v>
      </c>
      <c r="F7" s="2">
        <v>15873</v>
      </c>
      <c r="G7" s="2">
        <f>SUM(Table1[[#This Row],[ IDPs ]:[ Refugees in Sudan ]])</f>
        <v>160242</v>
      </c>
      <c r="H7" s="30">
        <v>4</v>
      </c>
      <c r="I7" s="2">
        <v>221088</v>
      </c>
      <c r="J7" s="4" t="s">
        <v>410</v>
      </c>
      <c r="K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7" s="4"/>
      <c r="M7" s="4"/>
      <c r="N7" s="4"/>
      <c r="O7" s="4"/>
      <c r="P7" s="4">
        <f>MAX(Table1[[#This Row],['#Protection Partners]:['# MA Partners]])</f>
        <v>0</v>
      </c>
      <c r="Q7" s="35">
        <f>IF(Table1[[#This Row],[OVERALL PARTNERS]]&lt;=0,1,IF(Table1[[#This Row],[OVERALL PARTNERS]]&lt;6,0.5,IF(Table1[[#This Row],[OVERALL PARTNERS]]&lt;10,0,0)))</f>
        <v>1</v>
      </c>
      <c r="R7" s="4"/>
      <c r="S7" s="4"/>
      <c r="T7" s="4"/>
      <c r="U7" s="4"/>
      <c r="V7" s="13">
        <f>MAX(Table1[[#This Row],[People Reached Protection]:[People Reached MA]])/Table1[[#This Row],[2025 - Targets]]</f>
        <v>0</v>
      </c>
      <c r="W7" s="34">
        <f>IF(Table1[[#This Row],[OVERALL REACHED]]&gt;50%,0,IF(Table1[[#This Row],[OVERALL REACHED]]&gt;0%,1,2))</f>
        <v>2</v>
      </c>
      <c r="X7" s="37">
        <f>SUM(Table1[[#This Row],[ACCESS SCORE]],Table1[[#This Row],[PARTNER PRESENCE SCORE]],Table1[[#This Row],[''Neglected'' LOCATION SCORE (REACHED)]])</f>
        <v>6</v>
      </c>
      <c r="Y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7" s="13" cm="1">
        <f t="array" ref="Z7">_xlfn.XLOOKUP(Table1[[#This Row],[2026 - Final Severity of Needs]]&amp;Table1[[#This Row],[Priority]],'2. Lookup'!A:A&amp;'2. Lookup'!B:B,'2. Lookup'!C:C,0)</f>
        <v>0.4</v>
      </c>
      <c r="AA7" s="49">
        <f>Table1[[#This Row],[Target Coverage]]*Table1[[#This Row],[2026 - PiN]]</f>
        <v>64096.800000000003</v>
      </c>
      <c r="AB7" s="49">
        <f>IFERROR(Table1[[#This Row],[Target Coverage]]*Table1[[#This Row],[ IDPs ]],0)</f>
        <v>48156.800000000003</v>
      </c>
      <c r="AC7" s="49">
        <f>IFERROR(Table1[[#This Row],[Target Coverage]]*Table1[[#This Row],[ Returnees ]],0)</f>
        <v>9590.8000000000011</v>
      </c>
      <c r="AD7" s="49">
        <f>IFERROR(Table1[[#This Row],[Target Coverage]]*Table1[[#This Row],[ Refugees in Sudan ]],0)</f>
        <v>6349.2000000000007</v>
      </c>
    </row>
    <row r="8" spans="1:30" x14ac:dyDescent="0.25">
      <c r="A8" s="3" t="s">
        <v>6</v>
      </c>
      <c r="B8" s="3" t="s">
        <v>17</v>
      </c>
      <c r="C8" s="3" t="s">
        <v>18</v>
      </c>
      <c r="D8" s="4">
        <v>68892</v>
      </c>
      <c r="E8" s="4">
        <v>80604</v>
      </c>
      <c r="F8" s="4">
        <v>2608</v>
      </c>
      <c r="G8" s="4">
        <f>SUM(Table1[[#This Row],[ IDPs ]:[ Refugees in Sudan ]])</f>
        <v>152104</v>
      </c>
      <c r="H8" s="29">
        <v>4</v>
      </c>
      <c r="I8" s="4">
        <v>91482</v>
      </c>
      <c r="J8" s="4" t="s">
        <v>411</v>
      </c>
      <c r="K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8" s="4"/>
      <c r="M8" s="4"/>
      <c r="N8" s="4"/>
      <c r="O8" s="4"/>
      <c r="P8" s="4">
        <f>MAX(Table1[[#This Row],['#Protection Partners]:['# MA Partners]])</f>
        <v>0</v>
      </c>
      <c r="Q8" s="35">
        <f>IF(Table1[[#This Row],[OVERALL PARTNERS]]&lt;=0,1,IF(Table1[[#This Row],[OVERALL PARTNERS]]&lt;6,0.5,IF(Table1[[#This Row],[OVERALL PARTNERS]]&lt;10,0,0)))</f>
        <v>1</v>
      </c>
      <c r="R8" s="4"/>
      <c r="S8" s="4"/>
      <c r="T8" s="4"/>
      <c r="U8" s="4"/>
      <c r="V8" s="13">
        <f>MAX(Table1[[#This Row],[People Reached Protection]:[People Reached MA]])/Table1[[#This Row],[2025 - Targets]]</f>
        <v>0</v>
      </c>
      <c r="W8" s="34">
        <f>IF(Table1[[#This Row],[OVERALL REACHED]]&gt;50%,0,IF(Table1[[#This Row],[OVERALL REACHED]]&gt;0%,1,2))</f>
        <v>2</v>
      </c>
      <c r="X8" s="37">
        <f>SUM(Table1[[#This Row],[ACCESS SCORE]],Table1[[#This Row],[PARTNER PRESENCE SCORE]],Table1[[#This Row],[''Neglected'' LOCATION SCORE (REACHED)]])</f>
        <v>5</v>
      </c>
      <c r="Y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" s="13" cm="1">
        <f t="array" ref="Z8">_xlfn.XLOOKUP(Table1[[#This Row],[2026 - Final Severity of Needs]]&amp;Table1[[#This Row],[Priority]],'2. Lookup'!A:A&amp;'2. Lookup'!B:B,'2. Lookup'!C:C,0)</f>
        <v>0.2</v>
      </c>
      <c r="AA8" s="49">
        <f>Table1[[#This Row],[Target Coverage]]*Table1[[#This Row],[2026 - PiN]]</f>
        <v>30420.800000000003</v>
      </c>
      <c r="AB8" s="49">
        <f>IFERROR(Table1[[#This Row],[Target Coverage]]*Table1[[#This Row],[ IDPs ]],0)</f>
        <v>13778.400000000001</v>
      </c>
      <c r="AC8" s="49">
        <f>IFERROR(Table1[[#This Row],[Target Coverage]]*Table1[[#This Row],[ Returnees ]],0)</f>
        <v>16120.800000000001</v>
      </c>
      <c r="AD8" s="49">
        <f>IFERROR(Table1[[#This Row],[Target Coverage]]*Table1[[#This Row],[ Refugees in Sudan ]],0)</f>
        <v>521.6</v>
      </c>
    </row>
    <row r="9" spans="1:30" x14ac:dyDescent="0.25">
      <c r="A9" s="1" t="s">
        <v>6</v>
      </c>
      <c r="B9" s="1" t="s">
        <v>6</v>
      </c>
      <c r="C9" s="1" t="s">
        <v>19</v>
      </c>
      <c r="D9" s="2">
        <v>6466</v>
      </c>
      <c r="E9" s="2">
        <v>35730</v>
      </c>
      <c r="F9" s="2">
        <v>7178</v>
      </c>
      <c r="G9" s="2">
        <f>SUM(Table1[[#This Row],[ IDPs ]:[ Refugees in Sudan ]])</f>
        <v>49374</v>
      </c>
      <c r="H9" s="30">
        <v>4</v>
      </c>
      <c r="I9" s="2">
        <v>30314</v>
      </c>
      <c r="J9" s="4" t="s">
        <v>411</v>
      </c>
      <c r="K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9" s="4"/>
      <c r="M9" s="4"/>
      <c r="N9" s="4"/>
      <c r="O9" s="4"/>
      <c r="P9" s="4">
        <f>MAX(Table1[[#This Row],['#Protection Partners]:['# MA Partners]])</f>
        <v>0</v>
      </c>
      <c r="Q9" s="35">
        <f>IF(Table1[[#This Row],[OVERALL PARTNERS]]&lt;=0,1,IF(Table1[[#This Row],[OVERALL PARTNERS]]&lt;6,0.5,IF(Table1[[#This Row],[OVERALL PARTNERS]]&lt;10,0,0)))</f>
        <v>1</v>
      </c>
      <c r="R9" s="4"/>
      <c r="S9" s="4"/>
      <c r="T9" s="4"/>
      <c r="U9" s="4"/>
      <c r="V9" s="13">
        <f>MAX(Table1[[#This Row],[People Reached Protection]:[People Reached MA]])/Table1[[#This Row],[2025 - Targets]]</f>
        <v>0</v>
      </c>
      <c r="W9" s="34">
        <f>IF(Table1[[#This Row],[OVERALL REACHED]]&gt;50%,0,IF(Table1[[#This Row],[OVERALL REACHED]]&gt;0%,1,2))</f>
        <v>2</v>
      </c>
      <c r="X9" s="37">
        <f>SUM(Table1[[#This Row],[ACCESS SCORE]],Table1[[#This Row],[PARTNER PRESENCE SCORE]],Table1[[#This Row],[''Neglected'' LOCATION SCORE (REACHED)]])</f>
        <v>5</v>
      </c>
      <c r="Y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9" s="13" cm="1">
        <f t="array" ref="Z9">_xlfn.XLOOKUP(Table1[[#This Row],[2026 - Final Severity of Needs]]&amp;Table1[[#This Row],[Priority]],'2. Lookup'!A:A&amp;'2. Lookup'!B:B,'2. Lookup'!C:C,0)</f>
        <v>0.2</v>
      </c>
      <c r="AA9" s="49">
        <f>Table1[[#This Row],[Target Coverage]]*Table1[[#This Row],[2026 - PiN]]</f>
        <v>9874.8000000000011</v>
      </c>
      <c r="AB9" s="49">
        <f>IFERROR(Table1[[#This Row],[Target Coverage]]*Table1[[#This Row],[ IDPs ]],0)</f>
        <v>1293.2</v>
      </c>
      <c r="AC9" s="49">
        <f>IFERROR(Table1[[#This Row],[Target Coverage]]*Table1[[#This Row],[ Returnees ]],0)</f>
        <v>7146</v>
      </c>
      <c r="AD9" s="49">
        <f>IFERROR(Table1[[#This Row],[Target Coverage]]*Table1[[#This Row],[ Refugees in Sudan ]],0)</f>
        <v>1435.6000000000001</v>
      </c>
    </row>
    <row r="10" spans="1:30" x14ac:dyDescent="0.25">
      <c r="A10" s="3" t="s">
        <v>20</v>
      </c>
      <c r="B10" s="3" t="s">
        <v>21</v>
      </c>
      <c r="C10" s="3" t="s">
        <v>22</v>
      </c>
      <c r="D10" s="4">
        <v>239339</v>
      </c>
      <c r="E10" s="3" t="s">
        <v>23</v>
      </c>
      <c r="F10" s="3" t="s">
        <v>24</v>
      </c>
      <c r="G10" s="4">
        <f>SUM(Table1[[#This Row],[ IDPs ]:[ Refugees in Sudan ]])</f>
        <v>239339</v>
      </c>
      <c r="H10" s="29">
        <v>4</v>
      </c>
      <c r="I10" s="4">
        <v>97417</v>
      </c>
      <c r="J10" s="4" t="s">
        <v>413</v>
      </c>
      <c r="K1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0" s="4"/>
      <c r="M10" s="4"/>
      <c r="N10" s="4"/>
      <c r="O10" s="4"/>
      <c r="P10" s="4">
        <f>MAX(Table1[[#This Row],['#Protection Partners]:['# MA Partners]])</f>
        <v>0</v>
      </c>
      <c r="Q10" s="35">
        <f>IF(Table1[[#This Row],[OVERALL PARTNERS]]&lt;=0,1,IF(Table1[[#This Row],[OVERALL PARTNERS]]&lt;6,0.5,IF(Table1[[#This Row],[OVERALL PARTNERS]]&lt;10,0,0)))</f>
        <v>1</v>
      </c>
      <c r="R10" s="4"/>
      <c r="S10" s="4"/>
      <c r="T10" s="4"/>
      <c r="U10" s="4"/>
      <c r="V10" s="13">
        <f>MAX(Table1[[#This Row],[People Reached Protection]:[People Reached MA]])/Table1[[#This Row],[2025 - Targets]]</f>
        <v>0</v>
      </c>
      <c r="W10" s="34">
        <f>IF(Table1[[#This Row],[OVERALL REACHED]]&gt;50%,0,IF(Table1[[#This Row],[OVERALL REACHED]]&gt;0%,1,2))</f>
        <v>2</v>
      </c>
      <c r="X10" s="37">
        <f>SUM(Table1[[#This Row],[ACCESS SCORE]],Table1[[#This Row],[PARTNER PRESENCE SCORE]],Table1[[#This Row],[''Neglected'' LOCATION SCORE (REACHED)]])</f>
        <v>4</v>
      </c>
      <c r="Y1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0" s="13" cm="1">
        <f t="array" ref="Z10">_xlfn.XLOOKUP(Table1[[#This Row],[2026 - Final Severity of Needs]]&amp;Table1[[#This Row],[Priority]],'2. Lookup'!A:A&amp;'2. Lookup'!B:B,'2. Lookup'!C:C,0)</f>
        <v>0.2</v>
      </c>
      <c r="AA10" s="49">
        <f>Table1[[#This Row],[Target Coverage]]*Table1[[#This Row],[2026 - PiN]]</f>
        <v>47867.8</v>
      </c>
      <c r="AB10" s="49">
        <f>IFERROR(Table1[[#This Row],[Target Coverage]]*Table1[[#This Row],[ IDPs ]],0)</f>
        <v>47867.8</v>
      </c>
      <c r="AC10" s="49">
        <f>IFERROR(Table1[[#This Row],[Target Coverage]]*Table1[[#This Row],[ Returnees ]],0)</f>
        <v>0</v>
      </c>
      <c r="AD10" s="49">
        <f>IFERROR(Table1[[#This Row],[Target Coverage]]*Table1[[#This Row],[ Refugees in Sudan ]],0)</f>
        <v>0</v>
      </c>
    </row>
    <row r="11" spans="1:30" x14ac:dyDescent="0.25">
      <c r="A11" s="1" t="s">
        <v>20</v>
      </c>
      <c r="B11" s="1" t="s">
        <v>25</v>
      </c>
      <c r="C11" s="1" t="s">
        <v>26</v>
      </c>
      <c r="D11" s="2">
        <v>210304</v>
      </c>
      <c r="E11" s="1" t="s">
        <v>23</v>
      </c>
      <c r="F11" s="2">
        <v>1298</v>
      </c>
      <c r="G11" s="2">
        <f>SUM(Table1[[#This Row],[ IDPs ]:[ Refugees in Sudan ]])</f>
        <v>211602</v>
      </c>
      <c r="H11" s="30">
        <v>5</v>
      </c>
      <c r="I11" s="2">
        <v>717299</v>
      </c>
      <c r="J11" s="4" t="s">
        <v>413</v>
      </c>
      <c r="K1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1" s="4"/>
      <c r="M11" s="4"/>
      <c r="N11" s="4"/>
      <c r="O11" s="4"/>
      <c r="P11" s="4">
        <f>MAX(Table1[[#This Row],['#Protection Partners]:['# MA Partners]])</f>
        <v>0</v>
      </c>
      <c r="Q11" s="35">
        <f>IF(Table1[[#This Row],[OVERALL PARTNERS]]&lt;=0,1,IF(Table1[[#This Row],[OVERALL PARTNERS]]&lt;6,0.5,IF(Table1[[#This Row],[OVERALL PARTNERS]]&lt;10,0,0)))</f>
        <v>1</v>
      </c>
      <c r="R11" s="4"/>
      <c r="S11" s="4"/>
      <c r="T11" s="4"/>
      <c r="U11" s="4"/>
      <c r="V11" s="13">
        <f>MAX(Table1[[#This Row],[People Reached Protection]:[People Reached MA]])/Table1[[#This Row],[2025 - Targets]]</f>
        <v>0</v>
      </c>
      <c r="W11" s="34">
        <f>IF(Table1[[#This Row],[OVERALL REACHED]]&gt;50%,0,IF(Table1[[#This Row],[OVERALL REACHED]]&gt;0%,1,2))</f>
        <v>2</v>
      </c>
      <c r="X11" s="37">
        <f>SUM(Table1[[#This Row],[ACCESS SCORE]],Table1[[#This Row],[PARTNER PRESENCE SCORE]],Table1[[#This Row],[''Neglected'' LOCATION SCORE (REACHED)]])</f>
        <v>4</v>
      </c>
      <c r="Y1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1" s="13" cm="1">
        <f t="array" ref="Z11">_xlfn.XLOOKUP(Table1[[#This Row],[2026 - Final Severity of Needs]]&amp;Table1[[#This Row],[Priority]],'2. Lookup'!A:A&amp;'2. Lookup'!B:B,'2. Lookup'!C:C,0)</f>
        <v>0.4</v>
      </c>
      <c r="AA11" s="49">
        <f>Table1[[#This Row],[Target Coverage]]*Table1[[#This Row],[2026 - PiN]]</f>
        <v>84640.8</v>
      </c>
      <c r="AB11" s="49">
        <f>IFERROR(Table1[[#This Row],[Target Coverage]]*Table1[[#This Row],[ IDPs ]],0)</f>
        <v>84121.600000000006</v>
      </c>
      <c r="AC11" s="49">
        <f>IFERROR(Table1[[#This Row],[Target Coverage]]*Table1[[#This Row],[ Returnees ]],0)</f>
        <v>0</v>
      </c>
      <c r="AD11" s="49">
        <f>IFERROR(Table1[[#This Row],[Target Coverage]]*Table1[[#This Row],[ Refugees in Sudan ]],0)</f>
        <v>519.20000000000005</v>
      </c>
    </row>
    <row r="12" spans="1:30" x14ac:dyDescent="0.25">
      <c r="A12" s="3" t="s">
        <v>20</v>
      </c>
      <c r="B12" s="3" t="s">
        <v>27</v>
      </c>
      <c r="C12" s="3" t="s">
        <v>28</v>
      </c>
      <c r="D12" s="4">
        <v>49440</v>
      </c>
      <c r="E12" s="3" t="s">
        <v>23</v>
      </c>
      <c r="F12" s="3" t="s">
        <v>24</v>
      </c>
      <c r="G12" s="4">
        <f>SUM(Table1[[#This Row],[ IDPs ]:[ Refugees in Sudan ]])</f>
        <v>49440</v>
      </c>
      <c r="H12" s="29">
        <v>4</v>
      </c>
      <c r="I12" s="4">
        <v>10463</v>
      </c>
      <c r="J12" s="4" t="s">
        <v>414</v>
      </c>
      <c r="K1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2" s="4"/>
      <c r="M12" s="4"/>
      <c r="N12" s="4"/>
      <c r="O12" s="4"/>
      <c r="P12" s="4">
        <f>MAX(Table1[[#This Row],['#Protection Partners]:['# MA Partners]])</f>
        <v>0</v>
      </c>
      <c r="Q12" s="35">
        <f>IF(Table1[[#This Row],[OVERALL PARTNERS]]&lt;=0,1,IF(Table1[[#This Row],[OVERALL PARTNERS]]&lt;6,0.5,IF(Table1[[#This Row],[OVERALL PARTNERS]]&lt;10,0,0)))</f>
        <v>1</v>
      </c>
      <c r="R12" s="4"/>
      <c r="S12" s="4"/>
      <c r="T12" s="4"/>
      <c r="U12" s="4"/>
      <c r="V12" s="13">
        <f>MAX(Table1[[#This Row],[People Reached Protection]:[People Reached MA]])/Table1[[#This Row],[2025 - Targets]]</f>
        <v>0</v>
      </c>
      <c r="W12" s="34">
        <f>IF(Table1[[#This Row],[OVERALL REACHED]]&gt;50%,0,IF(Table1[[#This Row],[OVERALL REACHED]]&gt;0%,1,2))</f>
        <v>2</v>
      </c>
      <c r="X12" s="37">
        <f>SUM(Table1[[#This Row],[ACCESS SCORE]],Table1[[#This Row],[PARTNER PRESENCE SCORE]],Table1[[#This Row],[''Neglected'' LOCATION SCORE (REACHED)]])</f>
        <v>4</v>
      </c>
      <c r="Y1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2" s="13" cm="1">
        <f t="array" ref="Z12">_xlfn.XLOOKUP(Table1[[#This Row],[2026 - Final Severity of Needs]]&amp;Table1[[#This Row],[Priority]],'2. Lookup'!A:A&amp;'2. Lookup'!B:B,'2. Lookup'!C:C,0)</f>
        <v>0.2</v>
      </c>
      <c r="AA12" s="49">
        <f>Table1[[#This Row],[Target Coverage]]*Table1[[#This Row],[2026 - PiN]]</f>
        <v>9888</v>
      </c>
      <c r="AB12" s="49">
        <f>IFERROR(Table1[[#This Row],[Target Coverage]]*Table1[[#This Row],[ IDPs ]],0)</f>
        <v>9888</v>
      </c>
      <c r="AC12" s="49">
        <f>IFERROR(Table1[[#This Row],[Target Coverage]]*Table1[[#This Row],[ Returnees ]],0)</f>
        <v>0</v>
      </c>
      <c r="AD12" s="49">
        <f>IFERROR(Table1[[#This Row],[Target Coverage]]*Table1[[#This Row],[ Refugees in Sudan ]],0)</f>
        <v>0</v>
      </c>
    </row>
    <row r="13" spans="1:30" x14ac:dyDescent="0.25">
      <c r="A13" s="1" t="s">
        <v>20</v>
      </c>
      <c r="B13" s="1" t="s">
        <v>29</v>
      </c>
      <c r="C13" s="1" t="s">
        <v>30</v>
      </c>
      <c r="D13" s="2">
        <v>100555</v>
      </c>
      <c r="E13" s="1" t="s">
        <v>23</v>
      </c>
      <c r="F13" s="1" t="s">
        <v>24</v>
      </c>
      <c r="G13" s="2">
        <f>SUM(Table1[[#This Row],[ IDPs ]:[ Refugees in Sudan ]])</f>
        <v>100555</v>
      </c>
      <c r="H13" s="30">
        <v>4</v>
      </c>
      <c r="I13" s="2">
        <v>19848</v>
      </c>
      <c r="J13" s="4" t="s">
        <v>413</v>
      </c>
      <c r="K1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3" s="4"/>
      <c r="M13" s="4"/>
      <c r="N13" s="4"/>
      <c r="O13" s="4"/>
      <c r="P13" s="4">
        <f>MAX(Table1[[#This Row],['#Protection Partners]:['# MA Partners]])</f>
        <v>0</v>
      </c>
      <c r="Q13" s="35">
        <f>IF(Table1[[#This Row],[OVERALL PARTNERS]]&lt;=0,1,IF(Table1[[#This Row],[OVERALL PARTNERS]]&lt;6,0.5,IF(Table1[[#This Row],[OVERALL PARTNERS]]&lt;10,0,0)))</f>
        <v>1</v>
      </c>
      <c r="R13" s="4"/>
      <c r="S13" s="4"/>
      <c r="T13" s="4"/>
      <c r="U13" s="4"/>
      <c r="V13" s="13">
        <f>MAX(Table1[[#This Row],[People Reached Protection]:[People Reached MA]])/Table1[[#This Row],[2025 - Targets]]</f>
        <v>0</v>
      </c>
      <c r="W13" s="34">
        <f>IF(Table1[[#This Row],[OVERALL REACHED]]&gt;50%,0,IF(Table1[[#This Row],[OVERALL REACHED]]&gt;0%,1,2))</f>
        <v>2</v>
      </c>
      <c r="X13" s="37">
        <f>SUM(Table1[[#This Row],[ACCESS SCORE]],Table1[[#This Row],[PARTNER PRESENCE SCORE]],Table1[[#This Row],[''Neglected'' LOCATION SCORE (REACHED)]])</f>
        <v>4</v>
      </c>
      <c r="Y1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3" s="13" cm="1">
        <f t="array" ref="Z13">_xlfn.XLOOKUP(Table1[[#This Row],[2026 - Final Severity of Needs]]&amp;Table1[[#This Row],[Priority]],'2. Lookup'!A:A&amp;'2. Lookup'!B:B,'2. Lookup'!C:C,0)</f>
        <v>0.2</v>
      </c>
      <c r="AA13" s="49">
        <f>Table1[[#This Row],[Target Coverage]]*Table1[[#This Row],[2026 - PiN]]</f>
        <v>20111</v>
      </c>
      <c r="AB13" s="49">
        <f>IFERROR(Table1[[#This Row],[Target Coverage]]*Table1[[#This Row],[ IDPs ]],0)</f>
        <v>20111</v>
      </c>
      <c r="AC13" s="49">
        <f>IFERROR(Table1[[#This Row],[Target Coverage]]*Table1[[#This Row],[ Returnees ]],0)</f>
        <v>0</v>
      </c>
      <c r="AD13" s="49">
        <f>IFERROR(Table1[[#This Row],[Target Coverage]]*Table1[[#This Row],[ Refugees in Sudan ]],0)</f>
        <v>0</v>
      </c>
    </row>
    <row r="14" spans="1:30" x14ac:dyDescent="0.25">
      <c r="A14" s="3" t="s">
        <v>20</v>
      </c>
      <c r="B14" s="3" t="s">
        <v>31</v>
      </c>
      <c r="C14" s="3" t="s">
        <v>32</v>
      </c>
      <c r="D14" s="4">
        <v>20467</v>
      </c>
      <c r="E14" s="3" t="s">
        <v>23</v>
      </c>
      <c r="F14" s="3" t="s">
        <v>24</v>
      </c>
      <c r="G14" s="4">
        <f>SUM(Table1[[#This Row],[ IDPs ]:[ Refugees in Sudan ]])</f>
        <v>20467</v>
      </c>
      <c r="H14" s="29">
        <v>4</v>
      </c>
      <c r="I14" s="4">
        <v>18211</v>
      </c>
      <c r="J14" s="4" t="s">
        <v>410</v>
      </c>
      <c r="K1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4" s="4"/>
      <c r="M14" s="4"/>
      <c r="N14" s="4"/>
      <c r="O14" s="4"/>
      <c r="P14" s="4">
        <f>MAX(Table1[[#This Row],['#Protection Partners]:['# MA Partners]])</f>
        <v>0</v>
      </c>
      <c r="Q14" s="35">
        <f>IF(Table1[[#This Row],[OVERALL PARTNERS]]&lt;=0,1,IF(Table1[[#This Row],[OVERALL PARTNERS]]&lt;6,0.5,IF(Table1[[#This Row],[OVERALL PARTNERS]]&lt;10,0,0)))</f>
        <v>1</v>
      </c>
      <c r="R14" s="4"/>
      <c r="S14" s="4"/>
      <c r="T14" s="4"/>
      <c r="U14" s="4"/>
      <c r="V14" s="13">
        <f>MAX(Table1[[#This Row],[People Reached Protection]:[People Reached MA]])/Table1[[#This Row],[2025 - Targets]]</f>
        <v>0</v>
      </c>
      <c r="W14" s="34">
        <f>IF(Table1[[#This Row],[OVERALL REACHED]]&gt;50%,0,IF(Table1[[#This Row],[OVERALL REACHED]]&gt;0%,1,2))</f>
        <v>2</v>
      </c>
      <c r="X14" s="37">
        <f>SUM(Table1[[#This Row],[ACCESS SCORE]],Table1[[#This Row],[PARTNER PRESENCE SCORE]],Table1[[#This Row],[''Neglected'' LOCATION SCORE (REACHED)]])</f>
        <v>6</v>
      </c>
      <c r="Y1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4" s="13" cm="1">
        <f t="array" ref="Z14">_xlfn.XLOOKUP(Table1[[#This Row],[2026 - Final Severity of Needs]]&amp;Table1[[#This Row],[Priority]],'2. Lookup'!A:A&amp;'2. Lookup'!B:B,'2. Lookup'!C:C,0)</f>
        <v>0.4</v>
      </c>
      <c r="AA14" s="49">
        <f>Table1[[#This Row],[Target Coverage]]*Table1[[#This Row],[2026 - PiN]]</f>
        <v>8186.8</v>
      </c>
      <c r="AB14" s="49">
        <f>IFERROR(Table1[[#This Row],[Target Coverage]]*Table1[[#This Row],[ IDPs ]],0)</f>
        <v>8186.8</v>
      </c>
      <c r="AC14" s="49">
        <f>IFERROR(Table1[[#This Row],[Target Coverage]]*Table1[[#This Row],[ Returnees ]],0)</f>
        <v>0</v>
      </c>
      <c r="AD14" s="49">
        <f>IFERROR(Table1[[#This Row],[Target Coverage]]*Table1[[#This Row],[ Refugees in Sudan ]],0)</f>
        <v>0</v>
      </c>
    </row>
    <row r="15" spans="1:30" x14ac:dyDescent="0.25">
      <c r="A15" s="1" t="s">
        <v>20</v>
      </c>
      <c r="B15" s="1" t="s">
        <v>33</v>
      </c>
      <c r="C15" s="1" t="s">
        <v>34</v>
      </c>
      <c r="D15" s="2">
        <v>2976</v>
      </c>
      <c r="E15" s="1" t="s">
        <v>23</v>
      </c>
      <c r="F15" s="1" t="s">
        <v>24</v>
      </c>
      <c r="G15" s="2">
        <f>SUM(Table1[[#This Row],[ IDPs ]:[ Refugees in Sudan ]])</f>
        <v>2976</v>
      </c>
      <c r="H15" s="30">
        <v>4</v>
      </c>
      <c r="I15" s="2">
        <v>19621</v>
      </c>
      <c r="J15" s="4" t="s">
        <v>410</v>
      </c>
      <c r="K1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5" s="4"/>
      <c r="M15" s="4"/>
      <c r="N15" s="4"/>
      <c r="O15" s="4"/>
      <c r="P15" s="4">
        <f>MAX(Table1[[#This Row],['#Protection Partners]:['# MA Partners]])</f>
        <v>0</v>
      </c>
      <c r="Q15" s="35">
        <f>IF(Table1[[#This Row],[OVERALL PARTNERS]]&lt;=0,1,IF(Table1[[#This Row],[OVERALL PARTNERS]]&lt;6,0.5,IF(Table1[[#This Row],[OVERALL PARTNERS]]&lt;10,0,0)))</f>
        <v>1</v>
      </c>
      <c r="R15" s="4"/>
      <c r="S15" s="4"/>
      <c r="T15" s="4"/>
      <c r="U15" s="4"/>
      <c r="V15" s="13">
        <f>MAX(Table1[[#This Row],[People Reached Protection]:[People Reached MA]])/Table1[[#This Row],[2025 - Targets]]</f>
        <v>0</v>
      </c>
      <c r="W15" s="34">
        <f>IF(Table1[[#This Row],[OVERALL REACHED]]&gt;50%,0,IF(Table1[[#This Row],[OVERALL REACHED]]&gt;0%,1,2))</f>
        <v>2</v>
      </c>
      <c r="X15" s="37">
        <f>SUM(Table1[[#This Row],[ACCESS SCORE]],Table1[[#This Row],[PARTNER PRESENCE SCORE]],Table1[[#This Row],[''Neglected'' LOCATION SCORE (REACHED)]])</f>
        <v>6</v>
      </c>
      <c r="Y1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" s="13" cm="1">
        <f t="array" ref="Z15">_xlfn.XLOOKUP(Table1[[#This Row],[2026 - Final Severity of Needs]]&amp;Table1[[#This Row],[Priority]],'2. Lookup'!A:A&amp;'2. Lookup'!B:B,'2. Lookup'!C:C,0)</f>
        <v>0.4</v>
      </c>
      <c r="AA15" s="49">
        <f>Table1[[#This Row],[Target Coverage]]*Table1[[#This Row],[2026 - PiN]]</f>
        <v>1190.4000000000001</v>
      </c>
      <c r="AB15" s="49">
        <f>IFERROR(Table1[[#This Row],[Target Coverage]]*Table1[[#This Row],[ IDPs ]],0)</f>
        <v>1190.4000000000001</v>
      </c>
      <c r="AC15" s="49">
        <f>IFERROR(Table1[[#This Row],[Target Coverage]]*Table1[[#This Row],[ Returnees ]],0)</f>
        <v>0</v>
      </c>
      <c r="AD15" s="49">
        <f>IFERROR(Table1[[#This Row],[Target Coverage]]*Table1[[#This Row],[ Refugees in Sudan ]],0)</f>
        <v>0</v>
      </c>
    </row>
    <row r="16" spans="1:30" x14ac:dyDescent="0.25">
      <c r="A16" s="3" t="s">
        <v>20</v>
      </c>
      <c r="B16" s="3" t="s">
        <v>35</v>
      </c>
      <c r="C16" s="3" t="s">
        <v>36</v>
      </c>
      <c r="D16" s="4">
        <v>16162</v>
      </c>
      <c r="E16" s="3" t="s">
        <v>23</v>
      </c>
      <c r="F16" s="3" t="s">
        <v>24</v>
      </c>
      <c r="G16" s="4">
        <f>SUM(Table1[[#This Row],[ IDPs ]:[ Refugees in Sudan ]])</f>
        <v>16162</v>
      </c>
      <c r="H16" s="29">
        <v>4</v>
      </c>
      <c r="I16" s="4">
        <v>21189</v>
      </c>
      <c r="J16" s="4" t="s">
        <v>414</v>
      </c>
      <c r="K1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6" s="4"/>
      <c r="M16" s="4"/>
      <c r="N16" s="4"/>
      <c r="O16" s="4"/>
      <c r="P16" s="4">
        <f>MAX(Table1[[#This Row],['#Protection Partners]:['# MA Partners]])</f>
        <v>0</v>
      </c>
      <c r="Q16" s="35">
        <f>IF(Table1[[#This Row],[OVERALL PARTNERS]]&lt;=0,1,IF(Table1[[#This Row],[OVERALL PARTNERS]]&lt;6,0.5,IF(Table1[[#This Row],[OVERALL PARTNERS]]&lt;10,0,0)))</f>
        <v>1</v>
      </c>
      <c r="R16" s="4"/>
      <c r="S16" s="4"/>
      <c r="T16" s="4"/>
      <c r="U16" s="4"/>
      <c r="V16" s="13">
        <f>MAX(Table1[[#This Row],[People Reached Protection]:[People Reached MA]])/Table1[[#This Row],[2025 - Targets]]</f>
        <v>0</v>
      </c>
      <c r="W16" s="34">
        <f>IF(Table1[[#This Row],[OVERALL REACHED]]&gt;50%,0,IF(Table1[[#This Row],[OVERALL REACHED]]&gt;0%,1,2))</f>
        <v>2</v>
      </c>
      <c r="X16" s="37">
        <f>SUM(Table1[[#This Row],[ACCESS SCORE]],Table1[[#This Row],[PARTNER PRESENCE SCORE]],Table1[[#This Row],[''Neglected'' LOCATION SCORE (REACHED)]])</f>
        <v>4</v>
      </c>
      <c r="Y1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6" s="13" cm="1">
        <f t="array" ref="Z16">_xlfn.XLOOKUP(Table1[[#This Row],[2026 - Final Severity of Needs]]&amp;Table1[[#This Row],[Priority]],'2. Lookup'!A:A&amp;'2. Lookup'!B:B,'2. Lookup'!C:C,0)</f>
        <v>0.2</v>
      </c>
      <c r="AA16" s="49">
        <f>Table1[[#This Row],[Target Coverage]]*Table1[[#This Row],[2026 - PiN]]</f>
        <v>3232.4</v>
      </c>
      <c r="AB16" s="49">
        <f>IFERROR(Table1[[#This Row],[Target Coverage]]*Table1[[#This Row],[ IDPs ]],0)</f>
        <v>3232.4</v>
      </c>
      <c r="AC16" s="49">
        <f>IFERROR(Table1[[#This Row],[Target Coverage]]*Table1[[#This Row],[ Returnees ]],0)</f>
        <v>0</v>
      </c>
      <c r="AD16" s="49">
        <f>IFERROR(Table1[[#This Row],[Target Coverage]]*Table1[[#This Row],[ Refugees in Sudan ]],0)</f>
        <v>0</v>
      </c>
    </row>
    <row r="17" spans="1:30" x14ac:dyDescent="0.25">
      <c r="A17" s="1" t="s">
        <v>20</v>
      </c>
      <c r="B17" s="1" t="s">
        <v>37</v>
      </c>
      <c r="C17" s="1" t="s">
        <v>38</v>
      </c>
      <c r="D17" s="2">
        <v>102446</v>
      </c>
      <c r="E17" s="1" t="s">
        <v>23</v>
      </c>
      <c r="F17" s="1" t="s">
        <v>24</v>
      </c>
      <c r="G17" s="2">
        <f>SUM(Table1[[#This Row],[ IDPs ]:[ Refugees in Sudan ]])</f>
        <v>102446</v>
      </c>
      <c r="H17" s="30">
        <v>5</v>
      </c>
      <c r="I17" s="2">
        <v>100714</v>
      </c>
      <c r="J17" s="4" t="s">
        <v>411</v>
      </c>
      <c r="K1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7" s="4"/>
      <c r="M17" s="4"/>
      <c r="N17" s="4"/>
      <c r="O17" s="4"/>
      <c r="P17" s="4">
        <f>MAX(Table1[[#This Row],['#Protection Partners]:['# MA Partners]])</f>
        <v>0</v>
      </c>
      <c r="Q17" s="35">
        <f>IF(Table1[[#This Row],[OVERALL PARTNERS]]&lt;=0,1,IF(Table1[[#This Row],[OVERALL PARTNERS]]&lt;6,0.5,IF(Table1[[#This Row],[OVERALL PARTNERS]]&lt;10,0,0)))</f>
        <v>1</v>
      </c>
      <c r="R17" s="4"/>
      <c r="S17" s="4"/>
      <c r="T17" s="4"/>
      <c r="U17" s="4"/>
      <c r="V17" s="13">
        <f>MAX(Table1[[#This Row],[People Reached Protection]:[People Reached MA]])/Table1[[#This Row],[2025 - Targets]]</f>
        <v>0</v>
      </c>
      <c r="W17" s="34">
        <f>IF(Table1[[#This Row],[OVERALL REACHED]]&gt;50%,0,IF(Table1[[#This Row],[OVERALL REACHED]]&gt;0%,1,2))</f>
        <v>2</v>
      </c>
      <c r="X17" s="37">
        <f>SUM(Table1[[#This Row],[ACCESS SCORE]],Table1[[#This Row],[PARTNER PRESENCE SCORE]],Table1[[#This Row],[''Neglected'' LOCATION SCORE (REACHED)]])</f>
        <v>5</v>
      </c>
      <c r="Y1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7" s="13" cm="1">
        <f t="array" ref="Z17">_xlfn.XLOOKUP(Table1[[#This Row],[2026 - Final Severity of Needs]]&amp;Table1[[#This Row],[Priority]],'2. Lookup'!A:A&amp;'2. Lookup'!B:B,'2. Lookup'!C:C,0)</f>
        <v>0.4</v>
      </c>
      <c r="AA17" s="49">
        <f>Table1[[#This Row],[Target Coverage]]*Table1[[#This Row],[2026 - PiN]]</f>
        <v>40978.400000000001</v>
      </c>
      <c r="AB17" s="49">
        <f>IFERROR(Table1[[#This Row],[Target Coverage]]*Table1[[#This Row],[ IDPs ]],0)</f>
        <v>40978.400000000001</v>
      </c>
      <c r="AC17" s="49">
        <f>IFERROR(Table1[[#This Row],[Target Coverage]]*Table1[[#This Row],[ Returnees ]],0)</f>
        <v>0</v>
      </c>
      <c r="AD17" s="49">
        <f>IFERROR(Table1[[#This Row],[Target Coverage]]*Table1[[#This Row],[ Refugees in Sudan ]],0)</f>
        <v>0</v>
      </c>
    </row>
    <row r="18" spans="1:30" x14ac:dyDescent="0.25">
      <c r="A18" s="3" t="s">
        <v>20</v>
      </c>
      <c r="B18" s="3" t="s">
        <v>39</v>
      </c>
      <c r="C18" s="3" t="s">
        <v>40</v>
      </c>
      <c r="D18" s="4">
        <v>21337</v>
      </c>
      <c r="E18" s="3" t="s">
        <v>23</v>
      </c>
      <c r="F18" s="3" t="s">
        <v>24</v>
      </c>
      <c r="G18" s="4">
        <f>SUM(Table1[[#This Row],[ IDPs ]:[ Refugees in Sudan ]])</f>
        <v>21337</v>
      </c>
      <c r="H18" s="29">
        <v>4</v>
      </c>
      <c r="I18" s="4">
        <v>15470</v>
      </c>
      <c r="J18" s="4" t="s">
        <v>414</v>
      </c>
      <c r="K1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8" s="4"/>
      <c r="M18" s="4"/>
      <c r="N18" s="4"/>
      <c r="O18" s="4"/>
      <c r="P18" s="4">
        <f>MAX(Table1[[#This Row],['#Protection Partners]:['# MA Partners]])</f>
        <v>0</v>
      </c>
      <c r="Q18" s="35">
        <f>IF(Table1[[#This Row],[OVERALL PARTNERS]]&lt;=0,1,IF(Table1[[#This Row],[OVERALL PARTNERS]]&lt;6,0.5,IF(Table1[[#This Row],[OVERALL PARTNERS]]&lt;10,0,0)))</f>
        <v>1</v>
      </c>
      <c r="R18" s="4"/>
      <c r="S18" s="4"/>
      <c r="T18" s="4"/>
      <c r="U18" s="4"/>
      <c r="V18" s="13">
        <f>MAX(Table1[[#This Row],[People Reached Protection]:[People Reached MA]])/Table1[[#This Row],[2025 - Targets]]</f>
        <v>0</v>
      </c>
      <c r="W18" s="34">
        <f>IF(Table1[[#This Row],[OVERALL REACHED]]&gt;50%,0,IF(Table1[[#This Row],[OVERALL REACHED]]&gt;0%,1,2))</f>
        <v>2</v>
      </c>
      <c r="X18" s="37">
        <f>SUM(Table1[[#This Row],[ACCESS SCORE]],Table1[[#This Row],[PARTNER PRESENCE SCORE]],Table1[[#This Row],[''Neglected'' LOCATION SCORE (REACHED)]])</f>
        <v>4</v>
      </c>
      <c r="Y1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" s="13" cm="1">
        <f t="array" ref="Z18">_xlfn.XLOOKUP(Table1[[#This Row],[2026 - Final Severity of Needs]]&amp;Table1[[#This Row],[Priority]],'2. Lookup'!A:A&amp;'2. Lookup'!B:B,'2. Lookup'!C:C,0)</f>
        <v>0.2</v>
      </c>
      <c r="AA18" s="49">
        <f>Table1[[#This Row],[Target Coverage]]*Table1[[#This Row],[2026 - PiN]]</f>
        <v>4267.4000000000005</v>
      </c>
      <c r="AB18" s="49">
        <f>IFERROR(Table1[[#This Row],[Target Coverage]]*Table1[[#This Row],[ IDPs ]],0)</f>
        <v>4267.4000000000005</v>
      </c>
      <c r="AC18" s="49">
        <f>IFERROR(Table1[[#This Row],[Target Coverage]]*Table1[[#This Row],[ Returnees ]],0)</f>
        <v>0</v>
      </c>
      <c r="AD18" s="49">
        <f>IFERROR(Table1[[#This Row],[Target Coverage]]*Table1[[#This Row],[ Refugees in Sudan ]],0)</f>
        <v>0</v>
      </c>
    </row>
    <row r="19" spans="1:30" x14ac:dyDescent="0.25">
      <c r="A19" s="1" t="s">
        <v>20</v>
      </c>
      <c r="B19" s="1" t="s">
        <v>41</v>
      </c>
      <c r="C19" s="1" t="s">
        <v>42</v>
      </c>
      <c r="D19" s="2">
        <v>203090</v>
      </c>
      <c r="E19" s="1" t="s">
        <v>23</v>
      </c>
      <c r="F19" s="1" t="s">
        <v>24</v>
      </c>
      <c r="G19" s="2">
        <f>SUM(Table1[[#This Row],[ IDPs ]:[ Refugees in Sudan ]])</f>
        <v>203090</v>
      </c>
      <c r="H19" s="30">
        <v>5</v>
      </c>
      <c r="I19" s="2">
        <v>151502</v>
      </c>
      <c r="J19" s="4" t="s">
        <v>413</v>
      </c>
      <c r="K1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9" s="4"/>
      <c r="M19" s="4"/>
      <c r="N19" s="4"/>
      <c r="O19" s="4"/>
      <c r="P19" s="4">
        <f>MAX(Table1[[#This Row],['#Protection Partners]:['# MA Partners]])</f>
        <v>0</v>
      </c>
      <c r="Q19" s="35">
        <f>IF(Table1[[#This Row],[OVERALL PARTNERS]]&lt;=0,1,IF(Table1[[#This Row],[OVERALL PARTNERS]]&lt;6,0.5,IF(Table1[[#This Row],[OVERALL PARTNERS]]&lt;10,0,0)))</f>
        <v>1</v>
      </c>
      <c r="R19" s="4"/>
      <c r="S19" s="4"/>
      <c r="T19" s="4"/>
      <c r="U19" s="4"/>
      <c r="V19" s="13">
        <f>MAX(Table1[[#This Row],[People Reached Protection]:[People Reached MA]])/Table1[[#This Row],[2025 - Targets]]</f>
        <v>0</v>
      </c>
      <c r="W19" s="34">
        <f>IF(Table1[[#This Row],[OVERALL REACHED]]&gt;50%,0,IF(Table1[[#This Row],[OVERALL REACHED]]&gt;0%,1,2))</f>
        <v>2</v>
      </c>
      <c r="X19" s="37">
        <f>SUM(Table1[[#This Row],[ACCESS SCORE]],Table1[[#This Row],[PARTNER PRESENCE SCORE]],Table1[[#This Row],[''Neglected'' LOCATION SCORE (REACHED)]])</f>
        <v>4</v>
      </c>
      <c r="Y1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9" s="13" cm="1">
        <f t="array" ref="Z19">_xlfn.XLOOKUP(Table1[[#This Row],[2026 - Final Severity of Needs]]&amp;Table1[[#This Row],[Priority]],'2. Lookup'!A:A&amp;'2. Lookup'!B:B,'2. Lookup'!C:C,0)</f>
        <v>0.4</v>
      </c>
      <c r="AA19" s="49">
        <f>Table1[[#This Row],[Target Coverage]]*Table1[[#This Row],[2026 - PiN]]</f>
        <v>81236</v>
      </c>
      <c r="AB19" s="49">
        <f>IFERROR(Table1[[#This Row],[Target Coverage]]*Table1[[#This Row],[ IDPs ]],0)</f>
        <v>81236</v>
      </c>
      <c r="AC19" s="49">
        <f>IFERROR(Table1[[#This Row],[Target Coverage]]*Table1[[#This Row],[ Returnees ]],0)</f>
        <v>0</v>
      </c>
      <c r="AD19" s="49">
        <f>IFERROR(Table1[[#This Row],[Target Coverage]]*Table1[[#This Row],[ Refugees in Sudan ]],0)</f>
        <v>0</v>
      </c>
    </row>
    <row r="20" spans="1:30" x14ac:dyDescent="0.25">
      <c r="A20" s="3" t="s">
        <v>20</v>
      </c>
      <c r="B20" s="3" t="s">
        <v>43</v>
      </c>
      <c r="C20" s="3" t="s">
        <v>44</v>
      </c>
      <c r="D20" s="4">
        <v>60506</v>
      </c>
      <c r="E20" s="3" t="s">
        <v>23</v>
      </c>
      <c r="F20" s="3" t="s">
        <v>24</v>
      </c>
      <c r="G20" s="4">
        <f>SUM(Table1[[#This Row],[ IDPs ]:[ Refugees in Sudan ]])</f>
        <v>60506</v>
      </c>
      <c r="H20" s="29">
        <v>5</v>
      </c>
      <c r="I20" s="4">
        <v>74506</v>
      </c>
      <c r="J20" s="4" t="s">
        <v>413</v>
      </c>
      <c r="K2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20" s="4"/>
      <c r="M20" s="4"/>
      <c r="N20" s="4"/>
      <c r="O20" s="4"/>
      <c r="P20" s="4">
        <f>MAX(Table1[[#This Row],['#Protection Partners]:['# MA Partners]])</f>
        <v>0</v>
      </c>
      <c r="Q20" s="35">
        <f>IF(Table1[[#This Row],[OVERALL PARTNERS]]&lt;=0,1,IF(Table1[[#This Row],[OVERALL PARTNERS]]&lt;6,0.5,IF(Table1[[#This Row],[OVERALL PARTNERS]]&lt;10,0,0)))</f>
        <v>1</v>
      </c>
      <c r="R20" s="4"/>
      <c r="S20" s="4"/>
      <c r="T20" s="4"/>
      <c r="U20" s="4"/>
      <c r="V20" s="13">
        <f>MAX(Table1[[#This Row],[People Reached Protection]:[People Reached MA]])/Table1[[#This Row],[2025 - Targets]]</f>
        <v>0</v>
      </c>
      <c r="W20" s="34">
        <f>IF(Table1[[#This Row],[OVERALL REACHED]]&gt;50%,0,IF(Table1[[#This Row],[OVERALL REACHED]]&gt;0%,1,2))</f>
        <v>2</v>
      </c>
      <c r="X20" s="37">
        <f>SUM(Table1[[#This Row],[ACCESS SCORE]],Table1[[#This Row],[PARTNER PRESENCE SCORE]],Table1[[#This Row],[''Neglected'' LOCATION SCORE (REACHED)]])</f>
        <v>4</v>
      </c>
      <c r="Y2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20" s="13" cm="1">
        <f t="array" ref="Z20">_xlfn.XLOOKUP(Table1[[#This Row],[2026 - Final Severity of Needs]]&amp;Table1[[#This Row],[Priority]],'2. Lookup'!A:A&amp;'2. Lookup'!B:B,'2. Lookup'!C:C,0)</f>
        <v>0.4</v>
      </c>
      <c r="AA20" s="49">
        <f>Table1[[#This Row],[Target Coverage]]*Table1[[#This Row],[2026 - PiN]]</f>
        <v>24202.400000000001</v>
      </c>
      <c r="AB20" s="49">
        <f>IFERROR(Table1[[#This Row],[Target Coverage]]*Table1[[#This Row],[ IDPs ]],0)</f>
        <v>24202.400000000001</v>
      </c>
      <c r="AC20" s="49">
        <f>IFERROR(Table1[[#This Row],[Target Coverage]]*Table1[[#This Row],[ Returnees ]],0)</f>
        <v>0</v>
      </c>
      <c r="AD20" s="49">
        <f>IFERROR(Table1[[#This Row],[Target Coverage]]*Table1[[#This Row],[ Refugees in Sudan ]],0)</f>
        <v>0</v>
      </c>
    </row>
    <row r="21" spans="1:30" x14ac:dyDescent="0.25">
      <c r="A21" s="1" t="s">
        <v>20</v>
      </c>
      <c r="B21" s="1" t="s">
        <v>45</v>
      </c>
      <c r="C21" s="1" t="s">
        <v>46</v>
      </c>
      <c r="D21" s="2">
        <v>80382</v>
      </c>
      <c r="E21" s="1" t="s">
        <v>23</v>
      </c>
      <c r="F21" s="1" t="s">
        <v>24</v>
      </c>
      <c r="G21" s="2">
        <f>SUM(Table1[[#This Row],[ IDPs ]:[ Refugees in Sudan ]])</f>
        <v>80382</v>
      </c>
      <c r="H21" s="30">
        <v>4</v>
      </c>
      <c r="I21" s="2">
        <v>86997</v>
      </c>
      <c r="J21" s="4" t="s">
        <v>412</v>
      </c>
      <c r="K2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21" s="4"/>
      <c r="M21" s="4"/>
      <c r="N21" s="4"/>
      <c r="O21" s="4"/>
      <c r="P21" s="4">
        <f>MAX(Table1[[#This Row],['#Protection Partners]:['# MA Partners]])</f>
        <v>0</v>
      </c>
      <c r="Q21" s="35">
        <f>IF(Table1[[#This Row],[OVERALL PARTNERS]]&lt;=0,1,IF(Table1[[#This Row],[OVERALL PARTNERS]]&lt;6,0.5,IF(Table1[[#This Row],[OVERALL PARTNERS]]&lt;10,0,0)))</f>
        <v>1</v>
      </c>
      <c r="R21" s="4"/>
      <c r="S21" s="4"/>
      <c r="T21" s="4"/>
      <c r="U21" s="4"/>
      <c r="V21" s="13">
        <f>MAX(Table1[[#This Row],[People Reached Protection]:[People Reached MA]])/Table1[[#This Row],[2025 - Targets]]</f>
        <v>0</v>
      </c>
      <c r="W21" s="34">
        <f>IF(Table1[[#This Row],[OVERALL REACHED]]&gt;50%,0,IF(Table1[[#This Row],[OVERALL REACHED]]&gt;0%,1,2))</f>
        <v>2</v>
      </c>
      <c r="X21" s="37">
        <f>SUM(Table1[[#This Row],[ACCESS SCORE]],Table1[[#This Row],[PARTNER PRESENCE SCORE]],Table1[[#This Row],[''Neglected'' LOCATION SCORE (REACHED)]])</f>
        <v>7</v>
      </c>
      <c r="Y2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21" s="13" cm="1">
        <f t="array" ref="Z21">_xlfn.XLOOKUP(Table1[[#This Row],[2026 - Final Severity of Needs]]&amp;Table1[[#This Row],[Priority]],'2. Lookup'!A:A&amp;'2. Lookup'!B:B,'2. Lookup'!C:C,0)</f>
        <v>0.4</v>
      </c>
      <c r="AA21" s="49">
        <f>Table1[[#This Row],[Target Coverage]]*Table1[[#This Row],[2026 - PiN]]</f>
        <v>32152.800000000003</v>
      </c>
      <c r="AB21" s="49">
        <f>IFERROR(Table1[[#This Row],[Target Coverage]]*Table1[[#This Row],[ IDPs ]],0)</f>
        <v>32152.800000000003</v>
      </c>
      <c r="AC21" s="49">
        <f>IFERROR(Table1[[#This Row],[Target Coverage]]*Table1[[#This Row],[ Returnees ]],0)</f>
        <v>0</v>
      </c>
      <c r="AD21" s="49">
        <f>IFERROR(Table1[[#This Row],[Target Coverage]]*Table1[[#This Row],[ Refugees in Sudan ]],0)</f>
        <v>0</v>
      </c>
    </row>
    <row r="22" spans="1:30" x14ac:dyDescent="0.25">
      <c r="A22" s="3" t="s">
        <v>20</v>
      </c>
      <c r="B22" s="3" t="s">
        <v>47</v>
      </c>
      <c r="C22" s="3" t="s">
        <v>48</v>
      </c>
      <c r="D22" s="4">
        <v>43625</v>
      </c>
      <c r="E22" s="3" t="s">
        <v>23</v>
      </c>
      <c r="F22" s="3" t="s">
        <v>24</v>
      </c>
      <c r="G22" s="4">
        <f>SUM(Table1[[#This Row],[ IDPs ]:[ Refugees in Sudan ]])</f>
        <v>43625</v>
      </c>
      <c r="H22" s="29">
        <v>5</v>
      </c>
      <c r="I22" s="4">
        <v>60028</v>
      </c>
      <c r="J22" s="4" t="s">
        <v>414</v>
      </c>
      <c r="K2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22" s="4"/>
      <c r="M22" s="4"/>
      <c r="N22" s="4"/>
      <c r="O22" s="4"/>
      <c r="P22" s="4">
        <f>MAX(Table1[[#This Row],['#Protection Partners]:['# MA Partners]])</f>
        <v>0</v>
      </c>
      <c r="Q22" s="35">
        <f>IF(Table1[[#This Row],[OVERALL PARTNERS]]&lt;=0,1,IF(Table1[[#This Row],[OVERALL PARTNERS]]&lt;6,0.5,IF(Table1[[#This Row],[OVERALL PARTNERS]]&lt;10,0,0)))</f>
        <v>1</v>
      </c>
      <c r="R22" s="4"/>
      <c r="S22" s="4"/>
      <c r="T22" s="4"/>
      <c r="U22" s="4"/>
      <c r="V22" s="13">
        <f>MAX(Table1[[#This Row],[People Reached Protection]:[People Reached MA]])/Table1[[#This Row],[2025 - Targets]]</f>
        <v>0</v>
      </c>
      <c r="W22" s="34">
        <f>IF(Table1[[#This Row],[OVERALL REACHED]]&gt;50%,0,IF(Table1[[#This Row],[OVERALL REACHED]]&gt;0%,1,2))</f>
        <v>2</v>
      </c>
      <c r="X22" s="37">
        <f>SUM(Table1[[#This Row],[ACCESS SCORE]],Table1[[#This Row],[PARTNER PRESENCE SCORE]],Table1[[#This Row],[''Neglected'' LOCATION SCORE (REACHED)]])</f>
        <v>4</v>
      </c>
      <c r="Y2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22" s="13" cm="1">
        <f t="array" ref="Z22">_xlfn.XLOOKUP(Table1[[#This Row],[2026 - Final Severity of Needs]]&amp;Table1[[#This Row],[Priority]],'2. Lookup'!A:A&amp;'2. Lookup'!B:B,'2. Lookup'!C:C,0)</f>
        <v>0.4</v>
      </c>
      <c r="AA22" s="49">
        <f>Table1[[#This Row],[Target Coverage]]*Table1[[#This Row],[2026 - PiN]]</f>
        <v>17450</v>
      </c>
      <c r="AB22" s="49">
        <f>IFERROR(Table1[[#This Row],[Target Coverage]]*Table1[[#This Row],[ IDPs ]],0)</f>
        <v>17450</v>
      </c>
      <c r="AC22" s="49">
        <f>IFERROR(Table1[[#This Row],[Target Coverage]]*Table1[[#This Row],[ Returnees ]],0)</f>
        <v>0</v>
      </c>
      <c r="AD22" s="49">
        <f>IFERROR(Table1[[#This Row],[Target Coverage]]*Table1[[#This Row],[ Refugees in Sudan ]],0)</f>
        <v>0</v>
      </c>
    </row>
    <row r="23" spans="1:30" x14ac:dyDescent="0.25">
      <c r="A23" s="1" t="s">
        <v>20</v>
      </c>
      <c r="B23" s="1" t="s">
        <v>49</v>
      </c>
      <c r="C23" s="1" t="s">
        <v>50</v>
      </c>
      <c r="D23" s="2">
        <v>2800</v>
      </c>
      <c r="E23" s="1" t="s">
        <v>23</v>
      </c>
      <c r="F23" s="1" t="s">
        <v>24</v>
      </c>
      <c r="G23" s="2">
        <f>SUM(Table1[[#This Row],[ IDPs ]:[ Refugees in Sudan ]])</f>
        <v>2800</v>
      </c>
      <c r="H23" s="30">
        <v>4</v>
      </c>
      <c r="I23" s="2">
        <v>18945</v>
      </c>
      <c r="J23" s="4" t="s">
        <v>414</v>
      </c>
      <c r="K2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23" s="4"/>
      <c r="M23" s="4"/>
      <c r="N23" s="4"/>
      <c r="O23" s="4"/>
      <c r="P23" s="4">
        <f>MAX(Table1[[#This Row],['#Protection Partners]:['# MA Partners]])</f>
        <v>0</v>
      </c>
      <c r="Q23" s="35">
        <f>IF(Table1[[#This Row],[OVERALL PARTNERS]]&lt;=0,1,IF(Table1[[#This Row],[OVERALL PARTNERS]]&lt;6,0.5,IF(Table1[[#This Row],[OVERALL PARTNERS]]&lt;10,0,0)))</f>
        <v>1</v>
      </c>
      <c r="R23" s="4"/>
      <c r="S23" s="4"/>
      <c r="T23" s="4"/>
      <c r="U23" s="4"/>
      <c r="V23" s="13">
        <f>MAX(Table1[[#This Row],[People Reached Protection]:[People Reached MA]])/Table1[[#This Row],[2025 - Targets]]</f>
        <v>0</v>
      </c>
      <c r="W23" s="34">
        <f>IF(Table1[[#This Row],[OVERALL REACHED]]&gt;50%,0,IF(Table1[[#This Row],[OVERALL REACHED]]&gt;0%,1,2))</f>
        <v>2</v>
      </c>
      <c r="X23" s="37">
        <f>SUM(Table1[[#This Row],[ACCESS SCORE]],Table1[[#This Row],[PARTNER PRESENCE SCORE]],Table1[[#This Row],[''Neglected'' LOCATION SCORE (REACHED)]])</f>
        <v>4</v>
      </c>
      <c r="Y2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23" s="13" cm="1">
        <f t="array" ref="Z23">_xlfn.XLOOKUP(Table1[[#This Row],[2026 - Final Severity of Needs]]&amp;Table1[[#This Row],[Priority]],'2. Lookup'!A:A&amp;'2. Lookup'!B:B,'2. Lookup'!C:C,0)</f>
        <v>0.2</v>
      </c>
      <c r="AA23" s="49">
        <f>Table1[[#This Row],[Target Coverage]]*Table1[[#This Row],[2026 - PiN]]</f>
        <v>560</v>
      </c>
      <c r="AB23" s="49">
        <f>IFERROR(Table1[[#This Row],[Target Coverage]]*Table1[[#This Row],[ IDPs ]],0)</f>
        <v>560</v>
      </c>
      <c r="AC23" s="49">
        <f>IFERROR(Table1[[#This Row],[Target Coverage]]*Table1[[#This Row],[ Returnees ]],0)</f>
        <v>0</v>
      </c>
      <c r="AD23" s="49">
        <f>IFERROR(Table1[[#This Row],[Target Coverage]]*Table1[[#This Row],[ Refugees in Sudan ]],0)</f>
        <v>0</v>
      </c>
    </row>
    <row r="24" spans="1:30" x14ac:dyDescent="0.25">
      <c r="A24" s="3" t="s">
        <v>20</v>
      </c>
      <c r="B24" s="3" t="s">
        <v>51</v>
      </c>
      <c r="C24" s="3" t="s">
        <v>52</v>
      </c>
      <c r="D24" s="4">
        <v>17486</v>
      </c>
      <c r="E24" s="3" t="s">
        <v>23</v>
      </c>
      <c r="F24" s="4">
        <v>18214</v>
      </c>
      <c r="G24" s="4">
        <f>SUM(Table1[[#This Row],[ IDPs ]:[ Refugees in Sudan ]])</f>
        <v>35700</v>
      </c>
      <c r="H24" s="29">
        <v>4</v>
      </c>
      <c r="I24" s="4">
        <v>30365</v>
      </c>
      <c r="J24" s="4" t="s">
        <v>410</v>
      </c>
      <c r="K2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24" s="4"/>
      <c r="M24" s="4"/>
      <c r="N24" s="4"/>
      <c r="O24" s="4"/>
      <c r="P24" s="4">
        <f>MAX(Table1[[#This Row],['#Protection Partners]:['# MA Partners]])</f>
        <v>0</v>
      </c>
      <c r="Q24" s="35">
        <f>IF(Table1[[#This Row],[OVERALL PARTNERS]]&lt;=0,1,IF(Table1[[#This Row],[OVERALL PARTNERS]]&lt;6,0.5,IF(Table1[[#This Row],[OVERALL PARTNERS]]&lt;10,0,0)))</f>
        <v>1</v>
      </c>
      <c r="R24" s="4"/>
      <c r="S24" s="4"/>
      <c r="T24" s="4"/>
      <c r="U24" s="4"/>
      <c r="V24" s="13">
        <f>MAX(Table1[[#This Row],[People Reached Protection]:[People Reached MA]])/Table1[[#This Row],[2025 - Targets]]</f>
        <v>0</v>
      </c>
      <c r="W24" s="34">
        <f>IF(Table1[[#This Row],[OVERALL REACHED]]&gt;50%,0,IF(Table1[[#This Row],[OVERALL REACHED]]&gt;0%,1,2))</f>
        <v>2</v>
      </c>
      <c r="X24" s="37">
        <f>SUM(Table1[[#This Row],[ACCESS SCORE]],Table1[[#This Row],[PARTNER PRESENCE SCORE]],Table1[[#This Row],[''Neglected'' LOCATION SCORE (REACHED)]])</f>
        <v>6</v>
      </c>
      <c r="Y2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24" s="13" cm="1">
        <f t="array" ref="Z24">_xlfn.XLOOKUP(Table1[[#This Row],[2026 - Final Severity of Needs]]&amp;Table1[[#This Row],[Priority]],'2. Lookup'!A:A&amp;'2. Lookup'!B:B,'2. Lookup'!C:C,0)</f>
        <v>0.4</v>
      </c>
      <c r="AA24" s="49">
        <f>Table1[[#This Row],[Target Coverage]]*Table1[[#This Row],[2026 - PiN]]</f>
        <v>14280</v>
      </c>
      <c r="AB24" s="49">
        <f>IFERROR(Table1[[#This Row],[Target Coverage]]*Table1[[#This Row],[ IDPs ]],0)</f>
        <v>6994.4000000000005</v>
      </c>
      <c r="AC24" s="49">
        <f>IFERROR(Table1[[#This Row],[Target Coverage]]*Table1[[#This Row],[ Returnees ]],0)</f>
        <v>0</v>
      </c>
      <c r="AD24" s="49">
        <f>IFERROR(Table1[[#This Row],[Target Coverage]]*Table1[[#This Row],[ Refugees in Sudan ]],0)</f>
        <v>7285.6</v>
      </c>
    </row>
    <row r="25" spans="1:30" x14ac:dyDescent="0.25">
      <c r="A25" s="1" t="s">
        <v>20</v>
      </c>
      <c r="B25" s="1" t="s">
        <v>53</v>
      </c>
      <c r="C25" s="1" t="s">
        <v>54</v>
      </c>
      <c r="D25" s="2">
        <v>572744</v>
      </c>
      <c r="E25" s="1" t="s">
        <v>23</v>
      </c>
      <c r="F25" s="1" t="s">
        <v>24</v>
      </c>
      <c r="G25" s="2">
        <f>SUM(Table1[[#This Row],[ IDPs ]:[ Refugees in Sudan ]])</f>
        <v>572744</v>
      </c>
      <c r="H25" s="30">
        <v>5</v>
      </c>
      <c r="I25" s="2">
        <v>194395</v>
      </c>
      <c r="J25" s="4" t="s">
        <v>411</v>
      </c>
      <c r="K2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25" s="4"/>
      <c r="M25" s="4"/>
      <c r="N25" s="4"/>
      <c r="O25" s="4"/>
      <c r="P25" s="4">
        <f>MAX(Table1[[#This Row],['#Protection Partners]:['# MA Partners]])</f>
        <v>0</v>
      </c>
      <c r="Q25" s="35">
        <f>IF(Table1[[#This Row],[OVERALL PARTNERS]]&lt;=0,1,IF(Table1[[#This Row],[OVERALL PARTNERS]]&lt;6,0.5,IF(Table1[[#This Row],[OVERALL PARTNERS]]&lt;10,0,0)))</f>
        <v>1</v>
      </c>
      <c r="R25" s="4"/>
      <c r="S25" s="4"/>
      <c r="T25" s="4"/>
      <c r="U25" s="4"/>
      <c r="V25" s="13">
        <f>MAX(Table1[[#This Row],[People Reached Protection]:[People Reached MA]])/Table1[[#This Row],[2025 - Targets]]</f>
        <v>0</v>
      </c>
      <c r="W25" s="34">
        <f>IF(Table1[[#This Row],[OVERALL REACHED]]&gt;50%,0,IF(Table1[[#This Row],[OVERALL REACHED]]&gt;0%,1,2))</f>
        <v>2</v>
      </c>
      <c r="X25" s="37">
        <f>SUM(Table1[[#This Row],[ACCESS SCORE]],Table1[[#This Row],[PARTNER PRESENCE SCORE]],Table1[[#This Row],[''Neglected'' LOCATION SCORE (REACHED)]])</f>
        <v>5</v>
      </c>
      <c r="Y2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25" s="13" cm="1">
        <f t="array" ref="Z25">_xlfn.XLOOKUP(Table1[[#This Row],[2026 - Final Severity of Needs]]&amp;Table1[[#This Row],[Priority]],'2. Lookup'!A:A&amp;'2. Lookup'!B:B,'2. Lookup'!C:C,0)</f>
        <v>0.4</v>
      </c>
      <c r="AA25" s="49">
        <f>Table1[[#This Row],[Target Coverage]]*Table1[[#This Row],[2026 - PiN]]</f>
        <v>229097.60000000001</v>
      </c>
      <c r="AB25" s="49">
        <f>IFERROR(Table1[[#This Row],[Target Coverage]]*Table1[[#This Row],[ IDPs ]],0)</f>
        <v>229097.60000000001</v>
      </c>
      <c r="AC25" s="49">
        <f>IFERROR(Table1[[#This Row],[Target Coverage]]*Table1[[#This Row],[ Returnees ]],0)</f>
        <v>0</v>
      </c>
      <c r="AD25" s="49">
        <f>IFERROR(Table1[[#This Row],[Target Coverage]]*Table1[[#This Row],[ Refugees in Sudan ]],0)</f>
        <v>0</v>
      </c>
    </row>
    <row r="26" spans="1:30" x14ac:dyDescent="0.25">
      <c r="A26" s="3" t="s">
        <v>20</v>
      </c>
      <c r="B26" s="3" t="s">
        <v>55</v>
      </c>
      <c r="C26" s="3" t="s">
        <v>56</v>
      </c>
      <c r="D26" s="4">
        <v>6145</v>
      </c>
      <c r="E26" s="3" t="s">
        <v>23</v>
      </c>
      <c r="F26" s="3" t="s">
        <v>24</v>
      </c>
      <c r="G26" s="4">
        <f>SUM(Table1[[#This Row],[ IDPs ]:[ Refugees in Sudan ]])</f>
        <v>6145</v>
      </c>
      <c r="H26" s="29">
        <v>3</v>
      </c>
      <c r="I26" s="4">
        <v>9220</v>
      </c>
      <c r="J26" s="4" t="s">
        <v>412</v>
      </c>
      <c r="K2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26" s="4"/>
      <c r="M26" s="4"/>
      <c r="N26" s="4"/>
      <c r="O26" s="4"/>
      <c r="P26" s="4">
        <f>MAX(Table1[[#This Row],['#Protection Partners]:['# MA Partners]])</f>
        <v>0</v>
      </c>
      <c r="Q26" s="35">
        <f>IF(Table1[[#This Row],[OVERALL PARTNERS]]&lt;=0,1,IF(Table1[[#This Row],[OVERALL PARTNERS]]&lt;6,0.5,IF(Table1[[#This Row],[OVERALL PARTNERS]]&lt;10,0,0)))</f>
        <v>1</v>
      </c>
      <c r="R26" s="4"/>
      <c r="S26" s="4"/>
      <c r="T26" s="4"/>
      <c r="U26" s="4"/>
      <c r="V26" s="13">
        <f>MAX(Table1[[#This Row],[People Reached Protection]:[People Reached MA]])/Table1[[#This Row],[2025 - Targets]]</f>
        <v>0</v>
      </c>
      <c r="W26" s="34">
        <f>IF(Table1[[#This Row],[OVERALL REACHED]]&gt;50%,0,IF(Table1[[#This Row],[OVERALL REACHED]]&gt;0%,1,2))</f>
        <v>2</v>
      </c>
      <c r="X26" s="37">
        <f>SUM(Table1[[#This Row],[ACCESS SCORE]],Table1[[#This Row],[PARTNER PRESENCE SCORE]],Table1[[#This Row],[''Neglected'' LOCATION SCORE (REACHED)]])</f>
        <v>7</v>
      </c>
      <c r="Y2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26" s="13" cm="1">
        <f t="array" ref="Z26">_xlfn.XLOOKUP(Table1[[#This Row],[2026 - Final Severity of Needs]]&amp;Table1[[#This Row],[Priority]],'2. Lookup'!A:A&amp;'2. Lookup'!B:B,'2. Lookup'!C:C,0)</f>
        <v>0.2</v>
      </c>
      <c r="AA26" s="49">
        <f>Table1[[#This Row],[Target Coverage]]*Table1[[#This Row],[2026 - PiN]]</f>
        <v>1229</v>
      </c>
      <c r="AB26" s="49">
        <f>IFERROR(Table1[[#This Row],[Target Coverage]]*Table1[[#This Row],[ IDPs ]],0)</f>
        <v>1229</v>
      </c>
      <c r="AC26" s="49">
        <f>IFERROR(Table1[[#This Row],[Target Coverage]]*Table1[[#This Row],[ Returnees ]],0)</f>
        <v>0</v>
      </c>
      <c r="AD26" s="49">
        <f>IFERROR(Table1[[#This Row],[Target Coverage]]*Table1[[#This Row],[ Refugees in Sudan ]],0)</f>
        <v>0</v>
      </c>
    </row>
    <row r="27" spans="1:30" x14ac:dyDescent="0.25">
      <c r="A27" s="1" t="s">
        <v>57</v>
      </c>
      <c r="B27" s="1" t="s">
        <v>58</v>
      </c>
      <c r="C27" s="1" t="s">
        <v>59</v>
      </c>
      <c r="D27" s="2">
        <v>37790</v>
      </c>
      <c r="E27" s="1" t="s">
        <v>23</v>
      </c>
      <c r="F27" s="2">
        <v>9105</v>
      </c>
      <c r="G27" s="2">
        <f>SUM(Table1[[#This Row],[ IDPs ]:[ Refugees in Sudan ]])</f>
        <v>46895</v>
      </c>
      <c r="H27" s="30">
        <v>3</v>
      </c>
      <c r="I27" s="2">
        <v>35211</v>
      </c>
      <c r="J27" s="4" t="s">
        <v>410</v>
      </c>
      <c r="K2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27" s="4"/>
      <c r="M27" s="4"/>
      <c r="N27" s="4"/>
      <c r="O27" s="4"/>
      <c r="P27" s="4">
        <f>MAX(Table1[[#This Row],['#Protection Partners]:['# MA Partners]])</f>
        <v>0</v>
      </c>
      <c r="Q27" s="35">
        <f>IF(Table1[[#This Row],[OVERALL PARTNERS]]&lt;=0,1,IF(Table1[[#This Row],[OVERALL PARTNERS]]&lt;6,0.5,IF(Table1[[#This Row],[OVERALL PARTNERS]]&lt;10,0,0)))</f>
        <v>1</v>
      </c>
      <c r="R27" s="4"/>
      <c r="S27" s="4"/>
      <c r="T27" s="4"/>
      <c r="U27" s="4"/>
      <c r="V27" s="13">
        <f>MAX(Table1[[#This Row],[People Reached Protection]:[People Reached MA]])/Table1[[#This Row],[2025 - Targets]]</f>
        <v>0</v>
      </c>
      <c r="W27" s="34">
        <f>IF(Table1[[#This Row],[OVERALL REACHED]]&gt;50%,0,IF(Table1[[#This Row],[OVERALL REACHED]]&gt;0%,1,2))</f>
        <v>2</v>
      </c>
      <c r="X27" s="37">
        <f>SUM(Table1[[#This Row],[ACCESS SCORE]],Table1[[#This Row],[PARTNER PRESENCE SCORE]],Table1[[#This Row],[''Neglected'' LOCATION SCORE (REACHED)]])</f>
        <v>6</v>
      </c>
      <c r="Y2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27" s="13" cm="1">
        <f t="array" ref="Z27">_xlfn.XLOOKUP(Table1[[#This Row],[2026 - Final Severity of Needs]]&amp;Table1[[#This Row],[Priority]],'2. Lookup'!A:A&amp;'2. Lookup'!B:B,'2. Lookup'!C:C,0)</f>
        <v>0.2</v>
      </c>
      <c r="AA27" s="49">
        <f>Table1[[#This Row],[Target Coverage]]*Table1[[#This Row],[2026 - PiN]]</f>
        <v>9379</v>
      </c>
      <c r="AB27" s="49">
        <f>IFERROR(Table1[[#This Row],[Target Coverage]]*Table1[[#This Row],[ IDPs ]],0)</f>
        <v>7558</v>
      </c>
      <c r="AC27" s="49">
        <f>IFERROR(Table1[[#This Row],[Target Coverage]]*Table1[[#This Row],[ Returnees ]],0)</f>
        <v>0</v>
      </c>
      <c r="AD27" s="49">
        <f>IFERROR(Table1[[#This Row],[Target Coverage]]*Table1[[#This Row],[ Refugees in Sudan ]],0)</f>
        <v>1821</v>
      </c>
    </row>
    <row r="28" spans="1:30" x14ac:dyDescent="0.25">
      <c r="A28" s="3" t="s">
        <v>57</v>
      </c>
      <c r="B28" s="3" t="s">
        <v>60</v>
      </c>
      <c r="C28" s="3" t="s">
        <v>61</v>
      </c>
      <c r="D28" s="4">
        <v>33661</v>
      </c>
      <c r="E28" s="3" t="s">
        <v>23</v>
      </c>
      <c r="F28" s="3" t="s">
        <v>24</v>
      </c>
      <c r="G28" s="4">
        <f>SUM(Table1[[#This Row],[ IDPs ]:[ Refugees in Sudan ]])</f>
        <v>33661</v>
      </c>
      <c r="H28" s="29">
        <v>3</v>
      </c>
      <c r="I28" s="4">
        <v>60672</v>
      </c>
      <c r="J28" s="4" t="s">
        <v>412</v>
      </c>
      <c r="K2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28" s="4"/>
      <c r="M28" s="4"/>
      <c r="N28" s="4"/>
      <c r="O28" s="4"/>
      <c r="P28" s="4">
        <f>MAX(Table1[[#This Row],['#Protection Partners]:['# MA Partners]])</f>
        <v>0</v>
      </c>
      <c r="Q28" s="35">
        <f>IF(Table1[[#This Row],[OVERALL PARTNERS]]&lt;=0,1,IF(Table1[[#This Row],[OVERALL PARTNERS]]&lt;6,0.5,IF(Table1[[#This Row],[OVERALL PARTNERS]]&lt;10,0,0)))</f>
        <v>1</v>
      </c>
      <c r="R28" s="4"/>
      <c r="S28" s="4"/>
      <c r="T28" s="4"/>
      <c r="U28" s="4"/>
      <c r="V28" s="13">
        <f>MAX(Table1[[#This Row],[People Reached Protection]:[People Reached MA]])/Table1[[#This Row],[2025 - Targets]]</f>
        <v>0</v>
      </c>
      <c r="W28" s="34">
        <f>IF(Table1[[#This Row],[OVERALL REACHED]]&gt;50%,0,IF(Table1[[#This Row],[OVERALL REACHED]]&gt;0%,1,2))</f>
        <v>2</v>
      </c>
      <c r="X28" s="37">
        <f>SUM(Table1[[#This Row],[ACCESS SCORE]],Table1[[#This Row],[PARTNER PRESENCE SCORE]],Table1[[#This Row],[''Neglected'' LOCATION SCORE (REACHED)]])</f>
        <v>7</v>
      </c>
      <c r="Y2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28" s="13" cm="1">
        <f t="array" ref="Z28">_xlfn.XLOOKUP(Table1[[#This Row],[2026 - Final Severity of Needs]]&amp;Table1[[#This Row],[Priority]],'2. Lookup'!A:A&amp;'2. Lookup'!B:B,'2. Lookup'!C:C,0)</f>
        <v>0.2</v>
      </c>
      <c r="AA28" s="49">
        <f>Table1[[#This Row],[Target Coverage]]*Table1[[#This Row],[2026 - PiN]]</f>
        <v>6732.2000000000007</v>
      </c>
      <c r="AB28" s="49">
        <f>IFERROR(Table1[[#This Row],[Target Coverage]]*Table1[[#This Row],[ IDPs ]],0)</f>
        <v>6732.2000000000007</v>
      </c>
      <c r="AC28" s="49">
        <f>IFERROR(Table1[[#This Row],[Target Coverage]]*Table1[[#This Row],[ Returnees ]],0)</f>
        <v>0</v>
      </c>
      <c r="AD28" s="49">
        <f>IFERROR(Table1[[#This Row],[Target Coverage]]*Table1[[#This Row],[ Refugees in Sudan ]],0)</f>
        <v>0</v>
      </c>
    </row>
    <row r="29" spans="1:30" x14ac:dyDescent="0.25">
      <c r="A29" s="1" t="s">
        <v>57</v>
      </c>
      <c r="B29" s="1" t="s">
        <v>62</v>
      </c>
      <c r="C29" s="1" t="s">
        <v>63</v>
      </c>
      <c r="D29" s="2">
        <v>154100</v>
      </c>
      <c r="E29" s="1" t="s">
        <v>23</v>
      </c>
      <c r="F29" s="1" t="s">
        <v>24</v>
      </c>
      <c r="G29" s="2">
        <f>SUM(Table1[[#This Row],[ IDPs ]:[ Refugees in Sudan ]])</f>
        <v>154100</v>
      </c>
      <c r="H29" s="30">
        <v>4</v>
      </c>
      <c r="I29" s="2">
        <v>164696</v>
      </c>
      <c r="J29" s="4" t="s">
        <v>411</v>
      </c>
      <c r="K2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29" s="4"/>
      <c r="M29" s="4"/>
      <c r="N29" s="4"/>
      <c r="O29" s="4"/>
      <c r="P29" s="4">
        <f>MAX(Table1[[#This Row],['#Protection Partners]:['# MA Partners]])</f>
        <v>0</v>
      </c>
      <c r="Q29" s="35">
        <f>IF(Table1[[#This Row],[OVERALL PARTNERS]]&lt;=0,1,IF(Table1[[#This Row],[OVERALL PARTNERS]]&lt;6,0.5,IF(Table1[[#This Row],[OVERALL PARTNERS]]&lt;10,0,0)))</f>
        <v>1</v>
      </c>
      <c r="R29" s="4"/>
      <c r="S29" s="4"/>
      <c r="T29" s="4"/>
      <c r="U29" s="4"/>
      <c r="V29" s="13">
        <f>MAX(Table1[[#This Row],[People Reached Protection]:[People Reached MA]])/Table1[[#This Row],[2025 - Targets]]</f>
        <v>0</v>
      </c>
      <c r="W29" s="34">
        <f>IF(Table1[[#This Row],[OVERALL REACHED]]&gt;50%,0,IF(Table1[[#This Row],[OVERALL REACHED]]&gt;0%,1,2))</f>
        <v>2</v>
      </c>
      <c r="X29" s="37">
        <f>SUM(Table1[[#This Row],[ACCESS SCORE]],Table1[[#This Row],[PARTNER PRESENCE SCORE]],Table1[[#This Row],[''Neglected'' LOCATION SCORE (REACHED)]])</f>
        <v>5</v>
      </c>
      <c r="Y2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29" s="13" cm="1">
        <f t="array" ref="Z29">_xlfn.XLOOKUP(Table1[[#This Row],[2026 - Final Severity of Needs]]&amp;Table1[[#This Row],[Priority]],'2. Lookup'!A:A&amp;'2. Lookup'!B:B,'2. Lookup'!C:C,0)</f>
        <v>0.2</v>
      </c>
      <c r="AA29" s="49">
        <f>Table1[[#This Row],[Target Coverage]]*Table1[[#This Row],[2026 - PiN]]</f>
        <v>30820</v>
      </c>
      <c r="AB29" s="49">
        <f>IFERROR(Table1[[#This Row],[Target Coverage]]*Table1[[#This Row],[ IDPs ]],0)</f>
        <v>30820</v>
      </c>
      <c r="AC29" s="49">
        <f>IFERROR(Table1[[#This Row],[Target Coverage]]*Table1[[#This Row],[ Returnees ]],0)</f>
        <v>0</v>
      </c>
      <c r="AD29" s="49">
        <f>IFERROR(Table1[[#This Row],[Target Coverage]]*Table1[[#This Row],[ Refugees in Sudan ]],0)</f>
        <v>0</v>
      </c>
    </row>
    <row r="30" spans="1:30" x14ac:dyDescent="0.25">
      <c r="A30" s="3" t="s">
        <v>57</v>
      </c>
      <c r="B30" s="3" t="s">
        <v>64</v>
      </c>
      <c r="C30" s="3" t="s">
        <v>65</v>
      </c>
      <c r="D30" s="4">
        <v>81260</v>
      </c>
      <c r="E30" s="3" t="s">
        <v>23</v>
      </c>
      <c r="F30" s="3" t="s">
        <v>24</v>
      </c>
      <c r="G30" s="4">
        <f>SUM(Table1[[#This Row],[ IDPs ]:[ Refugees in Sudan ]])</f>
        <v>81260</v>
      </c>
      <c r="H30" s="29">
        <v>3</v>
      </c>
      <c r="I30" s="4">
        <v>56286</v>
      </c>
      <c r="J30" s="4" t="s">
        <v>412</v>
      </c>
      <c r="K3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30" s="4"/>
      <c r="M30" s="4"/>
      <c r="N30" s="4"/>
      <c r="O30" s="4"/>
      <c r="P30" s="4">
        <f>MAX(Table1[[#This Row],['#Protection Partners]:['# MA Partners]])</f>
        <v>0</v>
      </c>
      <c r="Q30" s="35">
        <f>IF(Table1[[#This Row],[OVERALL PARTNERS]]&lt;=0,1,IF(Table1[[#This Row],[OVERALL PARTNERS]]&lt;6,0.5,IF(Table1[[#This Row],[OVERALL PARTNERS]]&lt;10,0,0)))</f>
        <v>1</v>
      </c>
      <c r="R30" s="4"/>
      <c r="S30" s="4"/>
      <c r="T30" s="4"/>
      <c r="U30" s="4"/>
      <c r="V30" s="13">
        <f>MAX(Table1[[#This Row],[People Reached Protection]:[People Reached MA]])/Table1[[#This Row],[2025 - Targets]]</f>
        <v>0</v>
      </c>
      <c r="W30" s="34">
        <f>IF(Table1[[#This Row],[OVERALL REACHED]]&gt;50%,0,IF(Table1[[#This Row],[OVERALL REACHED]]&gt;0%,1,2))</f>
        <v>2</v>
      </c>
      <c r="X30" s="37">
        <f>SUM(Table1[[#This Row],[ACCESS SCORE]],Table1[[#This Row],[PARTNER PRESENCE SCORE]],Table1[[#This Row],[''Neglected'' LOCATION SCORE (REACHED)]])</f>
        <v>7</v>
      </c>
      <c r="Y3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0" s="13" cm="1">
        <f t="array" ref="Z30">_xlfn.XLOOKUP(Table1[[#This Row],[2026 - Final Severity of Needs]]&amp;Table1[[#This Row],[Priority]],'2. Lookup'!A:A&amp;'2. Lookup'!B:B,'2. Lookup'!C:C,0)</f>
        <v>0.2</v>
      </c>
      <c r="AA30" s="49">
        <f>Table1[[#This Row],[Target Coverage]]*Table1[[#This Row],[2026 - PiN]]</f>
        <v>16252</v>
      </c>
      <c r="AB30" s="49">
        <f>IFERROR(Table1[[#This Row],[Target Coverage]]*Table1[[#This Row],[ IDPs ]],0)</f>
        <v>16252</v>
      </c>
      <c r="AC30" s="49">
        <f>IFERROR(Table1[[#This Row],[Target Coverage]]*Table1[[#This Row],[ Returnees ]],0)</f>
        <v>0</v>
      </c>
      <c r="AD30" s="49">
        <f>IFERROR(Table1[[#This Row],[Target Coverage]]*Table1[[#This Row],[ Refugees in Sudan ]],0)</f>
        <v>0</v>
      </c>
    </row>
    <row r="31" spans="1:30" x14ac:dyDescent="0.25">
      <c r="A31" s="1" t="s">
        <v>57</v>
      </c>
      <c r="B31" s="1" t="s">
        <v>66</v>
      </c>
      <c r="C31" s="1" t="s">
        <v>67</v>
      </c>
      <c r="D31" s="2">
        <v>3835</v>
      </c>
      <c r="E31" s="1" t="s">
        <v>23</v>
      </c>
      <c r="F31" s="2">
        <v>2974</v>
      </c>
      <c r="G31" s="2">
        <f>SUM(Table1[[#This Row],[ IDPs ]:[ Refugees in Sudan ]])</f>
        <v>6809</v>
      </c>
      <c r="H31" s="30">
        <v>3</v>
      </c>
      <c r="I31" s="2">
        <v>10887</v>
      </c>
      <c r="J31" s="4" t="s">
        <v>411</v>
      </c>
      <c r="K3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31" s="4"/>
      <c r="M31" s="4"/>
      <c r="N31" s="4"/>
      <c r="O31" s="4"/>
      <c r="P31" s="4">
        <f>MAX(Table1[[#This Row],['#Protection Partners]:['# MA Partners]])</f>
        <v>0</v>
      </c>
      <c r="Q31" s="35">
        <f>IF(Table1[[#This Row],[OVERALL PARTNERS]]&lt;=0,1,IF(Table1[[#This Row],[OVERALL PARTNERS]]&lt;6,0.5,IF(Table1[[#This Row],[OVERALL PARTNERS]]&lt;10,0,0)))</f>
        <v>1</v>
      </c>
      <c r="R31" s="4"/>
      <c r="S31" s="4"/>
      <c r="T31" s="4"/>
      <c r="U31" s="4"/>
      <c r="V31" s="13">
        <f>MAX(Table1[[#This Row],[People Reached Protection]:[People Reached MA]])/Table1[[#This Row],[2025 - Targets]]</f>
        <v>0</v>
      </c>
      <c r="W31" s="34">
        <f>IF(Table1[[#This Row],[OVERALL REACHED]]&gt;50%,0,IF(Table1[[#This Row],[OVERALL REACHED]]&gt;0%,1,2))</f>
        <v>2</v>
      </c>
      <c r="X31" s="37">
        <f>SUM(Table1[[#This Row],[ACCESS SCORE]],Table1[[#This Row],[PARTNER PRESENCE SCORE]],Table1[[#This Row],[''Neglected'' LOCATION SCORE (REACHED)]])</f>
        <v>5</v>
      </c>
      <c r="Y3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31" s="13" cm="1">
        <f t="array" ref="Z31">_xlfn.XLOOKUP(Table1[[#This Row],[2026 - Final Severity of Needs]]&amp;Table1[[#This Row],[Priority]],'2. Lookup'!A:A&amp;'2. Lookup'!B:B,'2. Lookup'!C:C,0)</f>
        <v>0.1</v>
      </c>
      <c r="AA31" s="49">
        <f>Table1[[#This Row],[Target Coverage]]*Table1[[#This Row],[2026 - PiN]]</f>
        <v>680.90000000000009</v>
      </c>
      <c r="AB31" s="49">
        <f>IFERROR(Table1[[#This Row],[Target Coverage]]*Table1[[#This Row],[ IDPs ]],0)</f>
        <v>383.5</v>
      </c>
      <c r="AC31" s="49">
        <f>IFERROR(Table1[[#This Row],[Target Coverage]]*Table1[[#This Row],[ Returnees ]],0)</f>
        <v>0</v>
      </c>
      <c r="AD31" s="49">
        <f>IFERROR(Table1[[#This Row],[Target Coverage]]*Table1[[#This Row],[ Refugees in Sudan ]],0)</f>
        <v>297.40000000000003</v>
      </c>
    </row>
    <row r="32" spans="1:30" x14ac:dyDescent="0.25">
      <c r="A32" s="3" t="s">
        <v>57</v>
      </c>
      <c r="B32" s="3" t="s">
        <v>68</v>
      </c>
      <c r="C32" s="3" t="s">
        <v>69</v>
      </c>
      <c r="D32" s="4">
        <v>45850</v>
      </c>
      <c r="E32" s="3" t="s">
        <v>23</v>
      </c>
      <c r="F32" s="3" t="s">
        <v>24</v>
      </c>
      <c r="G32" s="4">
        <f>SUM(Table1[[#This Row],[ IDPs ]:[ Refugees in Sudan ]])</f>
        <v>45850</v>
      </c>
      <c r="H32" s="29">
        <v>4</v>
      </c>
      <c r="I32" s="4">
        <v>29432</v>
      </c>
      <c r="J32" s="4" t="s">
        <v>410</v>
      </c>
      <c r="K3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32" s="4"/>
      <c r="M32" s="4"/>
      <c r="N32" s="4"/>
      <c r="O32" s="4"/>
      <c r="P32" s="4">
        <f>MAX(Table1[[#This Row],['#Protection Partners]:['# MA Partners]])</f>
        <v>0</v>
      </c>
      <c r="Q32" s="35">
        <f>IF(Table1[[#This Row],[OVERALL PARTNERS]]&lt;=0,1,IF(Table1[[#This Row],[OVERALL PARTNERS]]&lt;6,0.5,IF(Table1[[#This Row],[OVERALL PARTNERS]]&lt;10,0,0)))</f>
        <v>1</v>
      </c>
      <c r="R32" s="4"/>
      <c r="S32" s="4"/>
      <c r="T32" s="4"/>
      <c r="U32" s="4"/>
      <c r="V32" s="13">
        <f>MAX(Table1[[#This Row],[People Reached Protection]:[People Reached MA]])/Table1[[#This Row],[2025 - Targets]]</f>
        <v>0</v>
      </c>
      <c r="W32" s="34">
        <f>IF(Table1[[#This Row],[OVERALL REACHED]]&gt;50%,0,IF(Table1[[#This Row],[OVERALL REACHED]]&gt;0%,1,2))</f>
        <v>2</v>
      </c>
      <c r="X32" s="37">
        <f>SUM(Table1[[#This Row],[ACCESS SCORE]],Table1[[#This Row],[PARTNER PRESENCE SCORE]],Table1[[#This Row],[''Neglected'' LOCATION SCORE (REACHED)]])</f>
        <v>6</v>
      </c>
      <c r="Y3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2" s="13" cm="1">
        <f t="array" ref="Z32">_xlfn.XLOOKUP(Table1[[#This Row],[2026 - Final Severity of Needs]]&amp;Table1[[#This Row],[Priority]],'2. Lookup'!A:A&amp;'2. Lookup'!B:B,'2. Lookup'!C:C,0)</f>
        <v>0.4</v>
      </c>
      <c r="AA32" s="49">
        <f>Table1[[#This Row],[Target Coverage]]*Table1[[#This Row],[2026 - PiN]]</f>
        <v>18340</v>
      </c>
      <c r="AB32" s="49">
        <f>IFERROR(Table1[[#This Row],[Target Coverage]]*Table1[[#This Row],[ IDPs ]],0)</f>
        <v>18340</v>
      </c>
      <c r="AC32" s="49">
        <f>IFERROR(Table1[[#This Row],[Target Coverage]]*Table1[[#This Row],[ Returnees ]],0)</f>
        <v>0</v>
      </c>
      <c r="AD32" s="49">
        <f>IFERROR(Table1[[#This Row],[Target Coverage]]*Table1[[#This Row],[ Refugees in Sudan ]],0)</f>
        <v>0</v>
      </c>
    </row>
    <row r="33" spans="1:30" x14ac:dyDescent="0.25">
      <c r="A33" s="1" t="s">
        <v>57</v>
      </c>
      <c r="B33" s="1" t="s">
        <v>70</v>
      </c>
      <c r="C33" s="1" t="s">
        <v>71</v>
      </c>
      <c r="D33" s="2">
        <v>21150</v>
      </c>
      <c r="E33" s="1" t="s">
        <v>23</v>
      </c>
      <c r="F33" s="1" t="s">
        <v>24</v>
      </c>
      <c r="G33" s="2">
        <f>SUM(Table1[[#This Row],[ IDPs ]:[ Refugees in Sudan ]])</f>
        <v>21150</v>
      </c>
      <c r="H33" s="30">
        <v>3</v>
      </c>
      <c r="I33" s="2">
        <v>56870</v>
      </c>
      <c r="J33" s="4" t="s">
        <v>411</v>
      </c>
      <c r="K3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33" s="4"/>
      <c r="M33" s="4"/>
      <c r="N33" s="4"/>
      <c r="O33" s="4"/>
      <c r="P33" s="4">
        <f>MAX(Table1[[#This Row],['#Protection Partners]:['# MA Partners]])</f>
        <v>0</v>
      </c>
      <c r="Q33" s="35">
        <f>IF(Table1[[#This Row],[OVERALL PARTNERS]]&lt;=0,1,IF(Table1[[#This Row],[OVERALL PARTNERS]]&lt;6,0.5,IF(Table1[[#This Row],[OVERALL PARTNERS]]&lt;10,0,0)))</f>
        <v>1</v>
      </c>
      <c r="R33" s="4"/>
      <c r="S33" s="4"/>
      <c r="T33" s="4"/>
      <c r="U33" s="4"/>
      <c r="V33" s="13">
        <f>MAX(Table1[[#This Row],[People Reached Protection]:[People Reached MA]])/Table1[[#This Row],[2025 - Targets]]</f>
        <v>0</v>
      </c>
      <c r="W33" s="34">
        <f>IF(Table1[[#This Row],[OVERALL REACHED]]&gt;50%,0,IF(Table1[[#This Row],[OVERALL REACHED]]&gt;0%,1,2))</f>
        <v>2</v>
      </c>
      <c r="X33" s="37">
        <f>SUM(Table1[[#This Row],[ACCESS SCORE]],Table1[[#This Row],[PARTNER PRESENCE SCORE]],Table1[[#This Row],[''Neglected'' LOCATION SCORE (REACHED)]])</f>
        <v>5</v>
      </c>
      <c r="Y3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33" s="13" cm="1">
        <f t="array" ref="Z33">_xlfn.XLOOKUP(Table1[[#This Row],[2026 - Final Severity of Needs]]&amp;Table1[[#This Row],[Priority]],'2. Lookup'!A:A&amp;'2. Lookup'!B:B,'2. Lookup'!C:C,0)</f>
        <v>0.1</v>
      </c>
      <c r="AA33" s="49">
        <f>Table1[[#This Row],[Target Coverage]]*Table1[[#This Row],[2026 - PiN]]</f>
        <v>2115</v>
      </c>
      <c r="AB33" s="49">
        <f>IFERROR(Table1[[#This Row],[Target Coverage]]*Table1[[#This Row],[ IDPs ]],0)</f>
        <v>2115</v>
      </c>
      <c r="AC33" s="49">
        <f>IFERROR(Table1[[#This Row],[Target Coverage]]*Table1[[#This Row],[ Returnees ]],0)</f>
        <v>0</v>
      </c>
      <c r="AD33" s="49">
        <f>IFERROR(Table1[[#This Row],[Target Coverage]]*Table1[[#This Row],[ Refugees in Sudan ]],0)</f>
        <v>0</v>
      </c>
    </row>
    <row r="34" spans="1:30" x14ac:dyDescent="0.25">
      <c r="A34" s="3" t="s">
        <v>57</v>
      </c>
      <c r="B34" s="3" t="s">
        <v>72</v>
      </c>
      <c r="C34" s="3" t="s">
        <v>73</v>
      </c>
      <c r="D34" s="4">
        <v>7475</v>
      </c>
      <c r="E34" s="3" t="s">
        <v>23</v>
      </c>
      <c r="F34" s="3" t="s">
        <v>24</v>
      </c>
      <c r="G34" s="4">
        <f>SUM(Table1[[#This Row],[ IDPs ]:[ Refugees in Sudan ]])</f>
        <v>7475</v>
      </c>
      <c r="H34" s="29">
        <v>4</v>
      </c>
      <c r="I34" s="4">
        <v>11207</v>
      </c>
      <c r="J34" s="4" t="s">
        <v>410</v>
      </c>
      <c r="K3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34" s="4"/>
      <c r="M34" s="4"/>
      <c r="N34" s="4"/>
      <c r="O34" s="4"/>
      <c r="P34" s="4">
        <f>MAX(Table1[[#This Row],['#Protection Partners]:['# MA Partners]])</f>
        <v>0</v>
      </c>
      <c r="Q34" s="35">
        <f>IF(Table1[[#This Row],[OVERALL PARTNERS]]&lt;=0,1,IF(Table1[[#This Row],[OVERALL PARTNERS]]&lt;6,0.5,IF(Table1[[#This Row],[OVERALL PARTNERS]]&lt;10,0,0)))</f>
        <v>1</v>
      </c>
      <c r="R34" s="4"/>
      <c r="S34" s="4"/>
      <c r="T34" s="4"/>
      <c r="U34" s="4"/>
      <c r="V34" s="13">
        <f>MAX(Table1[[#This Row],[People Reached Protection]:[People Reached MA]])/Table1[[#This Row],[2025 - Targets]]</f>
        <v>0</v>
      </c>
      <c r="W34" s="34">
        <f>IF(Table1[[#This Row],[OVERALL REACHED]]&gt;50%,0,IF(Table1[[#This Row],[OVERALL REACHED]]&gt;0%,1,2))</f>
        <v>2</v>
      </c>
      <c r="X34" s="37">
        <f>SUM(Table1[[#This Row],[ACCESS SCORE]],Table1[[#This Row],[PARTNER PRESENCE SCORE]],Table1[[#This Row],[''Neglected'' LOCATION SCORE (REACHED)]])</f>
        <v>6</v>
      </c>
      <c r="Y3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4" s="13" cm="1">
        <f t="array" ref="Z34">_xlfn.XLOOKUP(Table1[[#This Row],[2026 - Final Severity of Needs]]&amp;Table1[[#This Row],[Priority]],'2. Lookup'!A:A&amp;'2. Lookup'!B:B,'2. Lookup'!C:C,0)</f>
        <v>0.4</v>
      </c>
      <c r="AA34" s="49">
        <f>Table1[[#This Row],[Target Coverage]]*Table1[[#This Row],[2026 - PiN]]</f>
        <v>2990</v>
      </c>
      <c r="AB34" s="49">
        <f>IFERROR(Table1[[#This Row],[Target Coverage]]*Table1[[#This Row],[ IDPs ]],0)</f>
        <v>2990</v>
      </c>
      <c r="AC34" s="49">
        <f>IFERROR(Table1[[#This Row],[Target Coverage]]*Table1[[#This Row],[ Returnees ]],0)</f>
        <v>0</v>
      </c>
      <c r="AD34" s="49">
        <f>IFERROR(Table1[[#This Row],[Target Coverage]]*Table1[[#This Row],[ Refugees in Sudan ]],0)</f>
        <v>0</v>
      </c>
    </row>
    <row r="35" spans="1:30" x14ac:dyDescent="0.25">
      <c r="A35" s="1" t="s">
        <v>57</v>
      </c>
      <c r="B35" s="1" t="s">
        <v>74</v>
      </c>
      <c r="C35" s="1" t="s">
        <v>75</v>
      </c>
      <c r="D35" s="2">
        <v>29005</v>
      </c>
      <c r="E35" s="1" t="s">
        <v>23</v>
      </c>
      <c r="F35" s="1" t="s">
        <v>24</v>
      </c>
      <c r="G35" s="2">
        <f>SUM(Table1[[#This Row],[ IDPs ]:[ Refugees in Sudan ]])</f>
        <v>29005</v>
      </c>
      <c r="H35" s="30">
        <v>3</v>
      </c>
      <c r="I35" s="2">
        <v>20020</v>
      </c>
      <c r="J35" s="4" t="s">
        <v>410</v>
      </c>
      <c r="K3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35" s="4"/>
      <c r="M35" s="4"/>
      <c r="N35" s="4"/>
      <c r="O35" s="4"/>
      <c r="P35" s="4">
        <f>MAX(Table1[[#This Row],['#Protection Partners]:['# MA Partners]])</f>
        <v>0</v>
      </c>
      <c r="Q35" s="35">
        <f>IF(Table1[[#This Row],[OVERALL PARTNERS]]&lt;=0,1,IF(Table1[[#This Row],[OVERALL PARTNERS]]&lt;6,0.5,IF(Table1[[#This Row],[OVERALL PARTNERS]]&lt;10,0,0)))</f>
        <v>1</v>
      </c>
      <c r="R35" s="4"/>
      <c r="S35" s="4"/>
      <c r="T35" s="4"/>
      <c r="U35" s="4"/>
      <c r="V35" s="13">
        <f>MAX(Table1[[#This Row],[People Reached Protection]:[People Reached MA]])/Table1[[#This Row],[2025 - Targets]]</f>
        <v>0</v>
      </c>
      <c r="W35" s="34">
        <f>IF(Table1[[#This Row],[OVERALL REACHED]]&gt;50%,0,IF(Table1[[#This Row],[OVERALL REACHED]]&gt;0%,1,2))</f>
        <v>2</v>
      </c>
      <c r="X35" s="37">
        <f>SUM(Table1[[#This Row],[ACCESS SCORE]],Table1[[#This Row],[PARTNER PRESENCE SCORE]],Table1[[#This Row],[''Neglected'' LOCATION SCORE (REACHED)]])</f>
        <v>6</v>
      </c>
      <c r="Y3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5" s="13" cm="1">
        <f t="array" ref="Z35">_xlfn.XLOOKUP(Table1[[#This Row],[2026 - Final Severity of Needs]]&amp;Table1[[#This Row],[Priority]],'2. Lookup'!A:A&amp;'2. Lookup'!B:B,'2. Lookup'!C:C,0)</f>
        <v>0.2</v>
      </c>
      <c r="AA35" s="49">
        <f>Table1[[#This Row],[Target Coverage]]*Table1[[#This Row],[2026 - PiN]]</f>
        <v>5801</v>
      </c>
      <c r="AB35" s="49">
        <f>IFERROR(Table1[[#This Row],[Target Coverage]]*Table1[[#This Row],[ IDPs ]],0)</f>
        <v>5801</v>
      </c>
      <c r="AC35" s="49">
        <f>IFERROR(Table1[[#This Row],[Target Coverage]]*Table1[[#This Row],[ Returnees ]],0)</f>
        <v>0</v>
      </c>
      <c r="AD35" s="49">
        <f>IFERROR(Table1[[#This Row],[Target Coverage]]*Table1[[#This Row],[ Refugees in Sudan ]],0)</f>
        <v>0</v>
      </c>
    </row>
    <row r="36" spans="1:30" x14ac:dyDescent="0.25">
      <c r="A36" s="3" t="s">
        <v>57</v>
      </c>
      <c r="B36" s="3" t="s">
        <v>76</v>
      </c>
      <c r="C36" s="3" t="s">
        <v>77</v>
      </c>
      <c r="D36" s="4">
        <v>139642</v>
      </c>
      <c r="E36" s="3" t="s">
        <v>23</v>
      </c>
      <c r="F36" s="3" t="s">
        <v>24</v>
      </c>
      <c r="G36" s="4">
        <f>SUM(Table1[[#This Row],[ IDPs ]:[ Refugees in Sudan ]])</f>
        <v>139642</v>
      </c>
      <c r="H36" s="29">
        <v>4</v>
      </c>
      <c r="I36" s="4">
        <v>98070</v>
      </c>
      <c r="J36" s="4" t="s">
        <v>410</v>
      </c>
      <c r="K3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36" s="4"/>
      <c r="M36" s="4"/>
      <c r="N36" s="4"/>
      <c r="O36" s="4"/>
      <c r="P36" s="4">
        <f>MAX(Table1[[#This Row],['#Protection Partners]:['# MA Partners]])</f>
        <v>0</v>
      </c>
      <c r="Q36" s="35">
        <f>IF(Table1[[#This Row],[OVERALL PARTNERS]]&lt;=0,1,IF(Table1[[#This Row],[OVERALL PARTNERS]]&lt;6,0.5,IF(Table1[[#This Row],[OVERALL PARTNERS]]&lt;10,0,0)))</f>
        <v>1</v>
      </c>
      <c r="R36" s="4"/>
      <c r="S36" s="4"/>
      <c r="T36" s="4"/>
      <c r="U36" s="4"/>
      <c r="V36" s="13">
        <f>MAX(Table1[[#This Row],[People Reached Protection]:[People Reached MA]])/Table1[[#This Row],[2025 - Targets]]</f>
        <v>0</v>
      </c>
      <c r="W36" s="34">
        <f>IF(Table1[[#This Row],[OVERALL REACHED]]&gt;50%,0,IF(Table1[[#This Row],[OVERALL REACHED]]&gt;0%,1,2))</f>
        <v>2</v>
      </c>
      <c r="X36" s="37">
        <f>SUM(Table1[[#This Row],[ACCESS SCORE]],Table1[[#This Row],[PARTNER PRESENCE SCORE]],Table1[[#This Row],[''Neglected'' LOCATION SCORE (REACHED)]])</f>
        <v>6</v>
      </c>
      <c r="Y3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6" s="13" cm="1">
        <f t="array" ref="Z36">_xlfn.XLOOKUP(Table1[[#This Row],[2026 - Final Severity of Needs]]&amp;Table1[[#This Row],[Priority]],'2. Lookup'!A:A&amp;'2. Lookup'!B:B,'2. Lookup'!C:C,0)</f>
        <v>0.4</v>
      </c>
      <c r="AA36" s="49">
        <f>Table1[[#This Row],[Target Coverage]]*Table1[[#This Row],[2026 - PiN]]</f>
        <v>55856.800000000003</v>
      </c>
      <c r="AB36" s="49">
        <f>IFERROR(Table1[[#This Row],[Target Coverage]]*Table1[[#This Row],[ IDPs ]],0)</f>
        <v>55856.800000000003</v>
      </c>
      <c r="AC36" s="49">
        <f>IFERROR(Table1[[#This Row],[Target Coverage]]*Table1[[#This Row],[ Returnees ]],0)</f>
        <v>0</v>
      </c>
      <c r="AD36" s="49">
        <f>IFERROR(Table1[[#This Row],[Target Coverage]]*Table1[[#This Row],[ Refugees in Sudan ]],0)</f>
        <v>0</v>
      </c>
    </row>
    <row r="37" spans="1:30" x14ac:dyDescent="0.25">
      <c r="A37" s="1" t="s">
        <v>57</v>
      </c>
      <c r="B37" s="1" t="s">
        <v>78</v>
      </c>
      <c r="C37" s="1" t="s">
        <v>79</v>
      </c>
      <c r="D37" s="2">
        <v>1955</v>
      </c>
      <c r="E37" s="1" t="s">
        <v>23</v>
      </c>
      <c r="F37" s="1" t="s">
        <v>24</v>
      </c>
      <c r="G37" s="2">
        <f>SUM(Table1[[#This Row],[ IDPs ]:[ Refugees in Sudan ]])</f>
        <v>1955</v>
      </c>
      <c r="H37" s="30">
        <v>3</v>
      </c>
      <c r="I37" s="2">
        <v>779</v>
      </c>
      <c r="J37" s="4" t="s">
        <v>412</v>
      </c>
      <c r="K3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37" s="4"/>
      <c r="M37" s="4"/>
      <c r="N37" s="4"/>
      <c r="O37" s="4"/>
      <c r="P37" s="4">
        <f>MAX(Table1[[#This Row],['#Protection Partners]:['# MA Partners]])</f>
        <v>0</v>
      </c>
      <c r="Q37" s="35">
        <f>IF(Table1[[#This Row],[OVERALL PARTNERS]]&lt;=0,1,IF(Table1[[#This Row],[OVERALL PARTNERS]]&lt;6,0.5,IF(Table1[[#This Row],[OVERALL PARTNERS]]&lt;10,0,0)))</f>
        <v>1</v>
      </c>
      <c r="R37" s="4"/>
      <c r="S37" s="4"/>
      <c r="T37" s="4"/>
      <c r="U37" s="4"/>
      <c r="V37" s="13">
        <f>MAX(Table1[[#This Row],[People Reached Protection]:[People Reached MA]])/Table1[[#This Row],[2025 - Targets]]</f>
        <v>0</v>
      </c>
      <c r="W37" s="34">
        <f>IF(Table1[[#This Row],[OVERALL REACHED]]&gt;50%,0,IF(Table1[[#This Row],[OVERALL REACHED]]&gt;0%,1,2))</f>
        <v>2</v>
      </c>
      <c r="X37" s="37">
        <f>SUM(Table1[[#This Row],[ACCESS SCORE]],Table1[[#This Row],[PARTNER PRESENCE SCORE]],Table1[[#This Row],[''Neglected'' LOCATION SCORE (REACHED)]])</f>
        <v>7</v>
      </c>
      <c r="Y3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7" s="13" cm="1">
        <f t="array" ref="Z37">_xlfn.XLOOKUP(Table1[[#This Row],[2026 - Final Severity of Needs]]&amp;Table1[[#This Row],[Priority]],'2. Lookup'!A:A&amp;'2. Lookup'!B:B,'2. Lookup'!C:C,0)</f>
        <v>0.2</v>
      </c>
      <c r="AA37" s="49">
        <f>Table1[[#This Row],[Target Coverage]]*Table1[[#This Row],[2026 - PiN]]</f>
        <v>391</v>
      </c>
      <c r="AB37" s="49">
        <f>IFERROR(Table1[[#This Row],[Target Coverage]]*Table1[[#This Row],[ IDPs ]],0)</f>
        <v>391</v>
      </c>
      <c r="AC37" s="49">
        <f>IFERROR(Table1[[#This Row],[Target Coverage]]*Table1[[#This Row],[ Returnees ]],0)</f>
        <v>0</v>
      </c>
      <c r="AD37" s="49">
        <f>IFERROR(Table1[[#This Row],[Target Coverage]]*Table1[[#This Row],[ Refugees in Sudan ]],0)</f>
        <v>0</v>
      </c>
    </row>
    <row r="38" spans="1:30" x14ac:dyDescent="0.25">
      <c r="A38" s="3" t="s">
        <v>57</v>
      </c>
      <c r="B38" s="3" t="s">
        <v>80</v>
      </c>
      <c r="C38" s="3" t="s">
        <v>81</v>
      </c>
      <c r="D38" s="4">
        <v>101130</v>
      </c>
      <c r="E38" s="3" t="s">
        <v>23</v>
      </c>
      <c r="F38" s="3" t="s">
        <v>24</v>
      </c>
      <c r="G38" s="4">
        <f>SUM(Table1[[#This Row],[ IDPs ]:[ Refugees in Sudan ]])</f>
        <v>101130</v>
      </c>
      <c r="H38" s="29">
        <v>4</v>
      </c>
      <c r="I38" s="4">
        <v>100825</v>
      </c>
      <c r="J38" s="4" t="s">
        <v>410</v>
      </c>
      <c r="K3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38" s="4"/>
      <c r="M38" s="4"/>
      <c r="N38" s="4"/>
      <c r="O38" s="4"/>
      <c r="P38" s="4">
        <f>MAX(Table1[[#This Row],['#Protection Partners]:['# MA Partners]])</f>
        <v>0</v>
      </c>
      <c r="Q38" s="35">
        <f>IF(Table1[[#This Row],[OVERALL PARTNERS]]&lt;=0,1,IF(Table1[[#This Row],[OVERALL PARTNERS]]&lt;6,0.5,IF(Table1[[#This Row],[OVERALL PARTNERS]]&lt;10,0,0)))</f>
        <v>1</v>
      </c>
      <c r="R38" s="4"/>
      <c r="S38" s="4"/>
      <c r="T38" s="4"/>
      <c r="U38" s="4"/>
      <c r="V38" s="13">
        <f>MAX(Table1[[#This Row],[People Reached Protection]:[People Reached MA]])/Table1[[#This Row],[2025 - Targets]]</f>
        <v>0</v>
      </c>
      <c r="W38" s="34">
        <f>IF(Table1[[#This Row],[OVERALL REACHED]]&gt;50%,0,IF(Table1[[#This Row],[OVERALL REACHED]]&gt;0%,1,2))</f>
        <v>2</v>
      </c>
      <c r="X38" s="37">
        <f>SUM(Table1[[#This Row],[ACCESS SCORE]],Table1[[#This Row],[PARTNER PRESENCE SCORE]],Table1[[#This Row],[''Neglected'' LOCATION SCORE (REACHED)]])</f>
        <v>6</v>
      </c>
      <c r="Y3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8" s="13" cm="1">
        <f t="array" ref="Z38">_xlfn.XLOOKUP(Table1[[#This Row],[2026 - Final Severity of Needs]]&amp;Table1[[#This Row],[Priority]],'2. Lookup'!A:A&amp;'2. Lookup'!B:B,'2. Lookup'!C:C,0)</f>
        <v>0.4</v>
      </c>
      <c r="AA38" s="49">
        <f>Table1[[#This Row],[Target Coverage]]*Table1[[#This Row],[2026 - PiN]]</f>
        <v>40452</v>
      </c>
      <c r="AB38" s="49">
        <f>IFERROR(Table1[[#This Row],[Target Coverage]]*Table1[[#This Row],[ IDPs ]],0)</f>
        <v>40452</v>
      </c>
      <c r="AC38" s="49">
        <f>IFERROR(Table1[[#This Row],[Target Coverage]]*Table1[[#This Row],[ Returnees ]],0)</f>
        <v>0</v>
      </c>
      <c r="AD38" s="49">
        <f>IFERROR(Table1[[#This Row],[Target Coverage]]*Table1[[#This Row],[ Refugees in Sudan ]],0)</f>
        <v>0</v>
      </c>
    </row>
    <row r="39" spans="1:30" x14ac:dyDescent="0.25">
      <c r="A39" s="1" t="s">
        <v>57</v>
      </c>
      <c r="B39" s="1" t="s">
        <v>82</v>
      </c>
      <c r="C39" s="1" t="s">
        <v>83</v>
      </c>
      <c r="D39" s="2">
        <v>9090</v>
      </c>
      <c r="E39" s="1" t="s">
        <v>23</v>
      </c>
      <c r="F39" s="1" t="s">
        <v>24</v>
      </c>
      <c r="G39" s="2">
        <f>SUM(Table1[[#This Row],[ IDPs ]:[ Refugees in Sudan ]])</f>
        <v>9090</v>
      </c>
      <c r="H39" s="30">
        <v>3</v>
      </c>
      <c r="I39" s="2">
        <v>33623</v>
      </c>
      <c r="J39" s="4" t="s">
        <v>412</v>
      </c>
      <c r="K3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39" s="4"/>
      <c r="M39" s="4"/>
      <c r="N39" s="4"/>
      <c r="O39" s="4"/>
      <c r="P39" s="4">
        <f>MAX(Table1[[#This Row],['#Protection Partners]:['# MA Partners]])</f>
        <v>0</v>
      </c>
      <c r="Q39" s="35">
        <f>IF(Table1[[#This Row],[OVERALL PARTNERS]]&lt;=0,1,IF(Table1[[#This Row],[OVERALL PARTNERS]]&lt;6,0.5,IF(Table1[[#This Row],[OVERALL PARTNERS]]&lt;10,0,0)))</f>
        <v>1</v>
      </c>
      <c r="R39" s="4"/>
      <c r="S39" s="4"/>
      <c r="T39" s="4"/>
      <c r="U39" s="4"/>
      <c r="V39" s="13">
        <f>MAX(Table1[[#This Row],[People Reached Protection]:[People Reached MA]])/Table1[[#This Row],[2025 - Targets]]</f>
        <v>0</v>
      </c>
      <c r="W39" s="34">
        <f>IF(Table1[[#This Row],[OVERALL REACHED]]&gt;50%,0,IF(Table1[[#This Row],[OVERALL REACHED]]&gt;0%,1,2))</f>
        <v>2</v>
      </c>
      <c r="X39" s="37">
        <f>SUM(Table1[[#This Row],[ACCESS SCORE]],Table1[[#This Row],[PARTNER PRESENCE SCORE]],Table1[[#This Row],[''Neglected'' LOCATION SCORE (REACHED)]])</f>
        <v>7</v>
      </c>
      <c r="Y3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39" s="13" cm="1">
        <f t="array" ref="Z39">_xlfn.XLOOKUP(Table1[[#This Row],[2026 - Final Severity of Needs]]&amp;Table1[[#This Row],[Priority]],'2. Lookup'!A:A&amp;'2. Lookup'!B:B,'2. Lookup'!C:C,0)</f>
        <v>0.2</v>
      </c>
      <c r="AA39" s="49">
        <f>Table1[[#This Row],[Target Coverage]]*Table1[[#This Row],[2026 - PiN]]</f>
        <v>1818</v>
      </c>
      <c r="AB39" s="49">
        <f>IFERROR(Table1[[#This Row],[Target Coverage]]*Table1[[#This Row],[ IDPs ]],0)</f>
        <v>1818</v>
      </c>
      <c r="AC39" s="49">
        <f>IFERROR(Table1[[#This Row],[Target Coverage]]*Table1[[#This Row],[ Returnees ]],0)</f>
        <v>0</v>
      </c>
      <c r="AD39" s="49">
        <f>IFERROR(Table1[[#This Row],[Target Coverage]]*Table1[[#This Row],[ Refugees in Sudan ]],0)</f>
        <v>0</v>
      </c>
    </row>
    <row r="40" spans="1:30" x14ac:dyDescent="0.25">
      <c r="A40" s="3" t="s">
        <v>57</v>
      </c>
      <c r="B40" s="3" t="s">
        <v>84</v>
      </c>
      <c r="C40" s="3" t="s">
        <v>85</v>
      </c>
      <c r="D40" s="4">
        <v>30685</v>
      </c>
      <c r="E40" s="3" t="s">
        <v>23</v>
      </c>
      <c r="F40" s="3" t="s">
        <v>24</v>
      </c>
      <c r="G40" s="4">
        <f>SUM(Table1[[#This Row],[ IDPs ]:[ Refugees in Sudan ]])</f>
        <v>30685</v>
      </c>
      <c r="H40" s="29">
        <v>4</v>
      </c>
      <c r="I40" s="4">
        <v>66294</v>
      </c>
      <c r="J40" s="4" t="s">
        <v>412</v>
      </c>
      <c r="K4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40" s="4"/>
      <c r="M40" s="4"/>
      <c r="N40" s="4"/>
      <c r="O40" s="4"/>
      <c r="P40" s="4">
        <f>MAX(Table1[[#This Row],['#Protection Partners]:['# MA Partners]])</f>
        <v>0</v>
      </c>
      <c r="Q40" s="35">
        <f>IF(Table1[[#This Row],[OVERALL PARTNERS]]&lt;=0,1,IF(Table1[[#This Row],[OVERALL PARTNERS]]&lt;6,0.5,IF(Table1[[#This Row],[OVERALL PARTNERS]]&lt;10,0,0)))</f>
        <v>1</v>
      </c>
      <c r="R40" s="4"/>
      <c r="S40" s="4"/>
      <c r="T40" s="4"/>
      <c r="U40" s="4"/>
      <c r="V40" s="13">
        <f>MAX(Table1[[#This Row],[People Reached Protection]:[People Reached MA]])/Table1[[#This Row],[2025 - Targets]]</f>
        <v>0</v>
      </c>
      <c r="W40" s="34">
        <f>IF(Table1[[#This Row],[OVERALL REACHED]]&gt;50%,0,IF(Table1[[#This Row],[OVERALL REACHED]]&gt;0%,1,2))</f>
        <v>2</v>
      </c>
      <c r="X40" s="37">
        <f>SUM(Table1[[#This Row],[ACCESS SCORE]],Table1[[#This Row],[PARTNER PRESENCE SCORE]],Table1[[#This Row],[''Neglected'' LOCATION SCORE (REACHED)]])</f>
        <v>7</v>
      </c>
      <c r="Y4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40" s="13" cm="1">
        <f t="array" ref="Z40">_xlfn.XLOOKUP(Table1[[#This Row],[2026 - Final Severity of Needs]]&amp;Table1[[#This Row],[Priority]],'2. Lookup'!A:A&amp;'2. Lookup'!B:B,'2. Lookup'!C:C,0)</f>
        <v>0.4</v>
      </c>
      <c r="AA40" s="49">
        <f>Table1[[#This Row],[Target Coverage]]*Table1[[#This Row],[2026 - PiN]]</f>
        <v>12274</v>
      </c>
      <c r="AB40" s="49">
        <f>IFERROR(Table1[[#This Row],[Target Coverage]]*Table1[[#This Row],[ IDPs ]],0)</f>
        <v>12274</v>
      </c>
      <c r="AC40" s="49">
        <f>IFERROR(Table1[[#This Row],[Target Coverage]]*Table1[[#This Row],[ Returnees ]],0)</f>
        <v>0</v>
      </c>
      <c r="AD40" s="49">
        <f>IFERROR(Table1[[#This Row],[Target Coverage]]*Table1[[#This Row],[ Refugees in Sudan ]],0)</f>
        <v>0</v>
      </c>
    </row>
    <row r="41" spans="1:30" x14ac:dyDescent="0.25">
      <c r="A41" s="1" t="s">
        <v>57</v>
      </c>
      <c r="B41" s="1" t="s">
        <v>86</v>
      </c>
      <c r="C41" s="1" t="s">
        <v>87</v>
      </c>
      <c r="D41" s="2">
        <v>44630</v>
      </c>
      <c r="E41" s="1" t="s">
        <v>23</v>
      </c>
      <c r="F41" s="1" t="s">
        <v>24</v>
      </c>
      <c r="G41" s="2">
        <f>SUM(Table1[[#This Row],[ IDPs ]:[ Refugees in Sudan ]])</f>
        <v>44630</v>
      </c>
      <c r="H41" s="30">
        <v>3</v>
      </c>
      <c r="I41" s="2">
        <v>60296</v>
      </c>
      <c r="J41" s="4" t="s">
        <v>410</v>
      </c>
      <c r="K4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41" s="4"/>
      <c r="M41" s="4"/>
      <c r="N41" s="4"/>
      <c r="O41" s="4"/>
      <c r="P41" s="4">
        <f>MAX(Table1[[#This Row],['#Protection Partners]:['# MA Partners]])</f>
        <v>0</v>
      </c>
      <c r="Q41" s="35">
        <f>IF(Table1[[#This Row],[OVERALL PARTNERS]]&lt;=0,1,IF(Table1[[#This Row],[OVERALL PARTNERS]]&lt;6,0.5,IF(Table1[[#This Row],[OVERALL PARTNERS]]&lt;10,0,0)))</f>
        <v>1</v>
      </c>
      <c r="R41" s="4"/>
      <c r="S41" s="4"/>
      <c r="T41" s="4"/>
      <c r="U41" s="4"/>
      <c r="V41" s="13">
        <f>MAX(Table1[[#This Row],[People Reached Protection]:[People Reached MA]])/Table1[[#This Row],[2025 - Targets]]</f>
        <v>0</v>
      </c>
      <c r="W41" s="34">
        <f>IF(Table1[[#This Row],[OVERALL REACHED]]&gt;50%,0,IF(Table1[[#This Row],[OVERALL REACHED]]&gt;0%,1,2))</f>
        <v>2</v>
      </c>
      <c r="X41" s="37">
        <f>SUM(Table1[[#This Row],[ACCESS SCORE]],Table1[[#This Row],[PARTNER PRESENCE SCORE]],Table1[[#This Row],[''Neglected'' LOCATION SCORE (REACHED)]])</f>
        <v>6</v>
      </c>
      <c r="Y4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41" s="13" cm="1">
        <f t="array" ref="Z41">_xlfn.XLOOKUP(Table1[[#This Row],[2026 - Final Severity of Needs]]&amp;Table1[[#This Row],[Priority]],'2. Lookup'!A:A&amp;'2. Lookup'!B:B,'2. Lookup'!C:C,0)</f>
        <v>0.2</v>
      </c>
      <c r="AA41" s="49">
        <f>Table1[[#This Row],[Target Coverage]]*Table1[[#This Row],[2026 - PiN]]</f>
        <v>8926</v>
      </c>
      <c r="AB41" s="49">
        <f>IFERROR(Table1[[#This Row],[Target Coverage]]*Table1[[#This Row],[ IDPs ]],0)</f>
        <v>8926</v>
      </c>
      <c r="AC41" s="49">
        <f>IFERROR(Table1[[#This Row],[Target Coverage]]*Table1[[#This Row],[ Returnees ]],0)</f>
        <v>0</v>
      </c>
      <c r="AD41" s="49">
        <f>IFERROR(Table1[[#This Row],[Target Coverage]]*Table1[[#This Row],[ Refugees in Sudan ]],0)</f>
        <v>0</v>
      </c>
    </row>
    <row r="42" spans="1:30" x14ac:dyDescent="0.25">
      <c r="A42" s="3" t="s">
        <v>57</v>
      </c>
      <c r="B42" s="3" t="s">
        <v>88</v>
      </c>
      <c r="C42" s="3" t="s">
        <v>89</v>
      </c>
      <c r="D42" s="4">
        <v>195395</v>
      </c>
      <c r="E42" s="3" t="s">
        <v>23</v>
      </c>
      <c r="F42" s="3">
        <v>504</v>
      </c>
      <c r="G42" s="4">
        <f>SUM(Table1[[#This Row],[ IDPs ]:[ Refugees in Sudan ]])</f>
        <v>195899</v>
      </c>
      <c r="H42" s="29">
        <v>4</v>
      </c>
      <c r="I42" s="4">
        <v>155771</v>
      </c>
      <c r="J42" s="4" t="s">
        <v>411</v>
      </c>
      <c r="K4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42" s="4"/>
      <c r="M42" s="4"/>
      <c r="N42" s="4"/>
      <c r="O42" s="4"/>
      <c r="P42" s="4">
        <f>MAX(Table1[[#This Row],['#Protection Partners]:['# MA Partners]])</f>
        <v>0</v>
      </c>
      <c r="Q42" s="35">
        <f>IF(Table1[[#This Row],[OVERALL PARTNERS]]&lt;=0,1,IF(Table1[[#This Row],[OVERALL PARTNERS]]&lt;6,0.5,IF(Table1[[#This Row],[OVERALL PARTNERS]]&lt;10,0,0)))</f>
        <v>1</v>
      </c>
      <c r="R42" s="4"/>
      <c r="S42" s="4"/>
      <c r="T42" s="4"/>
      <c r="U42" s="4"/>
      <c r="V42" s="13">
        <f>MAX(Table1[[#This Row],[People Reached Protection]:[People Reached MA]])/Table1[[#This Row],[2025 - Targets]]</f>
        <v>0</v>
      </c>
      <c r="W42" s="34">
        <f>IF(Table1[[#This Row],[OVERALL REACHED]]&gt;50%,0,IF(Table1[[#This Row],[OVERALL REACHED]]&gt;0%,1,2))</f>
        <v>2</v>
      </c>
      <c r="X42" s="37">
        <f>SUM(Table1[[#This Row],[ACCESS SCORE]],Table1[[#This Row],[PARTNER PRESENCE SCORE]],Table1[[#This Row],[''Neglected'' LOCATION SCORE (REACHED)]])</f>
        <v>5</v>
      </c>
      <c r="Y4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42" s="13" cm="1">
        <f t="array" ref="Z42">_xlfn.XLOOKUP(Table1[[#This Row],[2026 - Final Severity of Needs]]&amp;Table1[[#This Row],[Priority]],'2. Lookup'!A:A&amp;'2. Lookup'!B:B,'2. Lookup'!C:C,0)</f>
        <v>0.2</v>
      </c>
      <c r="AA42" s="49">
        <f>Table1[[#This Row],[Target Coverage]]*Table1[[#This Row],[2026 - PiN]]</f>
        <v>39179.800000000003</v>
      </c>
      <c r="AB42" s="49">
        <f>IFERROR(Table1[[#This Row],[Target Coverage]]*Table1[[#This Row],[ IDPs ]],0)</f>
        <v>39079</v>
      </c>
      <c r="AC42" s="49">
        <f>IFERROR(Table1[[#This Row],[Target Coverage]]*Table1[[#This Row],[ Returnees ]],0)</f>
        <v>0</v>
      </c>
      <c r="AD42" s="49">
        <f>IFERROR(Table1[[#This Row],[Target Coverage]]*Table1[[#This Row],[ Refugees in Sudan ]],0)</f>
        <v>100.80000000000001</v>
      </c>
    </row>
    <row r="43" spans="1:30" x14ac:dyDescent="0.25">
      <c r="A43" s="1" t="s">
        <v>57</v>
      </c>
      <c r="B43" s="1" t="s">
        <v>90</v>
      </c>
      <c r="C43" s="1" t="s">
        <v>91</v>
      </c>
      <c r="D43" s="2">
        <v>473818</v>
      </c>
      <c r="E43" s="1" t="s">
        <v>23</v>
      </c>
      <c r="F43" s="2">
        <v>3409</v>
      </c>
      <c r="G43" s="2">
        <f>SUM(Table1[[#This Row],[ IDPs ]:[ Refugees in Sudan ]])</f>
        <v>477227</v>
      </c>
      <c r="H43" s="30">
        <v>4</v>
      </c>
      <c r="I43" s="2">
        <v>331134</v>
      </c>
      <c r="J43" s="4" t="s">
        <v>411</v>
      </c>
      <c r="K4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43" s="4"/>
      <c r="M43" s="4"/>
      <c r="N43" s="4"/>
      <c r="O43" s="4"/>
      <c r="P43" s="4">
        <f>MAX(Table1[[#This Row],['#Protection Partners]:['# MA Partners]])</f>
        <v>0</v>
      </c>
      <c r="Q43" s="35">
        <f>IF(Table1[[#This Row],[OVERALL PARTNERS]]&lt;=0,1,IF(Table1[[#This Row],[OVERALL PARTNERS]]&lt;6,0.5,IF(Table1[[#This Row],[OVERALL PARTNERS]]&lt;10,0,0)))</f>
        <v>1</v>
      </c>
      <c r="R43" s="4"/>
      <c r="S43" s="4"/>
      <c r="T43" s="4"/>
      <c r="U43" s="4"/>
      <c r="V43" s="13">
        <f>MAX(Table1[[#This Row],[People Reached Protection]:[People Reached MA]])/Table1[[#This Row],[2025 - Targets]]</f>
        <v>0</v>
      </c>
      <c r="W43" s="34">
        <f>IF(Table1[[#This Row],[OVERALL REACHED]]&gt;50%,0,IF(Table1[[#This Row],[OVERALL REACHED]]&gt;0%,1,2))</f>
        <v>2</v>
      </c>
      <c r="X43" s="37">
        <f>SUM(Table1[[#This Row],[ACCESS SCORE]],Table1[[#This Row],[PARTNER PRESENCE SCORE]],Table1[[#This Row],[''Neglected'' LOCATION SCORE (REACHED)]])</f>
        <v>5</v>
      </c>
      <c r="Y4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43" s="13" cm="1">
        <f t="array" ref="Z43">_xlfn.XLOOKUP(Table1[[#This Row],[2026 - Final Severity of Needs]]&amp;Table1[[#This Row],[Priority]],'2. Lookup'!A:A&amp;'2. Lookup'!B:B,'2. Lookup'!C:C,0)</f>
        <v>0.2</v>
      </c>
      <c r="AA43" s="49">
        <f>Table1[[#This Row],[Target Coverage]]*Table1[[#This Row],[2026 - PiN]]</f>
        <v>95445.400000000009</v>
      </c>
      <c r="AB43" s="49">
        <f>IFERROR(Table1[[#This Row],[Target Coverage]]*Table1[[#This Row],[ IDPs ]],0)</f>
        <v>94763.6</v>
      </c>
      <c r="AC43" s="49">
        <f>IFERROR(Table1[[#This Row],[Target Coverage]]*Table1[[#This Row],[ Returnees ]],0)</f>
        <v>0</v>
      </c>
      <c r="AD43" s="49">
        <f>IFERROR(Table1[[#This Row],[Target Coverage]]*Table1[[#This Row],[ Refugees in Sudan ]],0)</f>
        <v>681.80000000000007</v>
      </c>
    </row>
    <row r="44" spans="1:30" x14ac:dyDescent="0.25">
      <c r="A44" s="3" t="s">
        <v>57</v>
      </c>
      <c r="B44" s="3" t="s">
        <v>92</v>
      </c>
      <c r="C44" s="3" t="s">
        <v>93</v>
      </c>
      <c r="D44" s="4">
        <v>329427</v>
      </c>
      <c r="E44" s="3" t="s">
        <v>23</v>
      </c>
      <c r="F44" s="3" t="s">
        <v>24</v>
      </c>
      <c r="G44" s="4">
        <f>SUM(Table1[[#This Row],[ IDPs ]:[ Refugees in Sudan ]])</f>
        <v>329427</v>
      </c>
      <c r="H44" s="29">
        <v>4</v>
      </c>
      <c r="I44" s="4">
        <v>370369</v>
      </c>
      <c r="J44" s="4" t="s">
        <v>411</v>
      </c>
      <c r="K4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44" s="4"/>
      <c r="M44" s="4"/>
      <c r="N44" s="4"/>
      <c r="O44" s="4"/>
      <c r="P44" s="4">
        <f>MAX(Table1[[#This Row],['#Protection Partners]:['# MA Partners]])</f>
        <v>0</v>
      </c>
      <c r="Q44" s="35">
        <f>IF(Table1[[#This Row],[OVERALL PARTNERS]]&lt;=0,1,IF(Table1[[#This Row],[OVERALL PARTNERS]]&lt;6,0.5,IF(Table1[[#This Row],[OVERALL PARTNERS]]&lt;10,0,0)))</f>
        <v>1</v>
      </c>
      <c r="R44" s="4"/>
      <c r="S44" s="4"/>
      <c r="T44" s="4"/>
      <c r="U44" s="4"/>
      <c r="V44" s="13">
        <f>MAX(Table1[[#This Row],[People Reached Protection]:[People Reached MA]])/Table1[[#This Row],[2025 - Targets]]</f>
        <v>0</v>
      </c>
      <c r="W44" s="34">
        <f>IF(Table1[[#This Row],[OVERALL REACHED]]&gt;50%,0,IF(Table1[[#This Row],[OVERALL REACHED]]&gt;0%,1,2))</f>
        <v>2</v>
      </c>
      <c r="X44" s="37">
        <f>SUM(Table1[[#This Row],[ACCESS SCORE]],Table1[[#This Row],[PARTNER PRESENCE SCORE]],Table1[[#This Row],[''Neglected'' LOCATION SCORE (REACHED)]])</f>
        <v>5</v>
      </c>
      <c r="Y4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44" s="13" cm="1">
        <f t="array" ref="Z44">_xlfn.XLOOKUP(Table1[[#This Row],[2026 - Final Severity of Needs]]&amp;Table1[[#This Row],[Priority]],'2. Lookup'!A:A&amp;'2. Lookup'!B:B,'2. Lookup'!C:C,0)</f>
        <v>0.2</v>
      </c>
      <c r="AA44" s="49">
        <f>Table1[[#This Row],[Target Coverage]]*Table1[[#This Row],[2026 - PiN]]</f>
        <v>65885.400000000009</v>
      </c>
      <c r="AB44" s="49">
        <f>IFERROR(Table1[[#This Row],[Target Coverage]]*Table1[[#This Row],[ IDPs ]],0)</f>
        <v>65885.400000000009</v>
      </c>
      <c r="AC44" s="49">
        <f>IFERROR(Table1[[#This Row],[Target Coverage]]*Table1[[#This Row],[ Returnees ]],0)</f>
        <v>0</v>
      </c>
      <c r="AD44" s="49">
        <f>IFERROR(Table1[[#This Row],[Target Coverage]]*Table1[[#This Row],[ Refugees in Sudan ]],0)</f>
        <v>0</v>
      </c>
    </row>
    <row r="45" spans="1:30" x14ac:dyDescent="0.25">
      <c r="A45" s="1" t="s">
        <v>57</v>
      </c>
      <c r="B45" s="1" t="s">
        <v>94</v>
      </c>
      <c r="C45" s="1" t="s">
        <v>95</v>
      </c>
      <c r="D45" s="2">
        <v>16250</v>
      </c>
      <c r="E45" s="1" t="s">
        <v>23</v>
      </c>
      <c r="F45" s="1" t="s">
        <v>24</v>
      </c>
      <c r="G45" s="2">
        <f>SUM(Table1[[#This Row],[ IDPs ]:[ Refugees in Sudan ]])</f>
        <v>16250</v>
      </c>
      <c r="H45" s="30">
        <v>4</v>
      </c>
      <c r="I45" s="2">
        <v>30030</v>
      </c>
      <c r="J45" s="4" t="s">
        <v>410</v>
      </c>
      <c r="K4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45" s="4"/>
      <c r="M45" s="4"/>
      <c r="N45" s="4"/>
      <c r="O45" s="4"/>
      <c r="P45" s="4">
        <f>MAX(Table1[[#This Row],['#Protection Partners]:['# MA Partners]])</f>
        <v>0</v>
      </c>
      <c r="Q45" s="35">
        <f>IF(Table1[[#This Row],[OVERALL PARTNERS]]&lt;=0,1,IF(Table1[[#This Row],[OVERALL PARTNERS]]&lt;6,0.5,IF(Table1[[#This Row],[OVERALL PARTNERS]]&lt;10,0,0)))</f>
        <v>1</v>
      </c>
      <c r="R45" s="4"/>
      <c r="S45" s="4"/>
      <c r="T45" s="4"/>
      <c r="U45" s="4"/>
      <c r="V45" s="13">
        <f>MAX(Table1[[#This Row],[People Reached Protection]:[People Reached MA]])/Table1[[#This Row],[2025 - Targets]]</f>
        <v>0</v>
      </c>
      <c r="W45" s="34">
        <f>IF(Table1[[#This Row],[OVERALL REACHED]]&gt;50%,0,IF(Table1[[#This Row],[OVERALL REACHED]]&gt;0%,1,2))</f>
        <v>2</v>
      </c>
      <c r="X45" s="37">
        <f>SUM(Table1[[#This Row],[ACCESS SCORE]],Table1[[#This Row],[PARTNER PRESENCE SCORE]],Table1[[#This Row],[''Neglected'' LOCATION SCORE (REACHED)]])</f>
        <v>6</v>
      </c>
      <c r="Y4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45" s="13" cm="1">
        <f t="array" ref="Z45">_xlfn.XLOOKUP(Table1[[#This Row],[2026 - Final Severity of Needs]]&amp;Table1[[#This Row],[Priority]],'2. Lookup'!A:A&amp;'2. Lookup'!B:B,'2. Lookup'!C:C,0)</f>
        <v>0.4</v>
      </c>
      <c r="AA45" s="49">
        <f>Table1[[#This Row],[Target Coverage]]*Table1[[#This Row],[2026 - PiN]]</f>
        <v>6500</v>
      </c>
      <c r="AB45" s="49">
        <f>IFERROR(Table1[[#This Row],[Target Coverage]]*Table1[[#This Row],[ IDPs ]],0)</f>
        <v>6500</v>
      </c>
      <c r="AC45" s="49">
        <f>IFERROR(Table1[[#This Row],[Target Coverage]]*Table1[[#This Row],[ Returnees ]],0)</f>
        <v>0</v>
      </c>
      <c r="AD45" s="49">
        <f>IFERROR(Table1[[#This Row],[Target Coverage]]*Table1[[#This Row],[ Refugees in Sudan ]],0)</f>
        <v>0</v>
      </c>
    </row>
    <row r="46" spans="1:30" x14ac:dyDescent="0.25">
      <c r="A46" s="3" t="s">
        <v>57</v>
      </c>
      <c r="B46" s="3" t="s">
        <v>96</v>
      </c>
      <c r="C46" s="3" t="s">
        <v>97</v>
      </c>
      <c r="D46" s="4">
        <v>79632</v>
      </c>
      <c r="E46" s="3" t="s">
        <v>23</v>
      </c>
      <c r="F46" s="4">
        <v>3168</v>
      </c>
      <c r="G46" s="4">
        <f>SUM(Table1[[#This Row],[ IDPs ]:[ Refugees in Sudan ]])</f>
        <v>82800</v>
      </c>
      <c r="H46" s="29">
        <v>4</v>
      </c>
      <c r="I46" s="4">
        <v>55042</v>
      </c>
      <c r="J46" s="4" t="s">
        <v>411</v>
      </c>
      <c r="K4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46" s="4"/>
      <c r="M46" s="4"/>
      <c r="N46" s="4"/>
      <c r="O46" s="4"/>
      <c r="P46" s="4">
        <f>MAX(Table1[[#This Row],['#Protection Partners]:['# MA Partners]])</f>
        <v>0</v>
      </c>
      <c r="Q46" s="35">
        <f>IF(Table1[[#This Row],[OVERALL PARTNERS]]&lt;=0,1,IF(Table1[[#This Row],[OVERALL PARTNERS]]&lt;6,0.5,IF(Table1[[#This Row],[OVERALL PARTNERS]]&lt;10,0,0)))</f>
        <v>1</v>
      </c>
      <c r="R46" s="4"/>
      <c r="S46" s="4"/>
      <c r="T46" s="4"/>
      <c r="U46" s="4"/>
      <c r="V46" s="13">
        <f>MAX(Table1[[#This Row],[People Reached Protection]:[People Reached MA]])/Table1[[#This Row],[2025 - Targets]]</f>
        <v>0</v>
      </c>
      <c r="W46" s="34">
        <f>IF(Table1[[#This Row],[OVERALL REACHED]]&gt;50%,0,IF(Table1[[#This Row],[OVERALL REACHED]]&gt;0%,1,2))</f>
        <v>2</v>
      </c>
      <c r="X46" s="37">
        <f>SUM(Table1[[#This Row],[ACCESS SCORE]],Table1[[#This Row],[PARTNER PRESENCE SCORE]],Table1[[#This Row],[''Neglected'' LOCATION SCORE (REACHED)]])</f>
        <v>5</v>
      </c>
      <c r="Y4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46" s="13" cm="1">
        <f t="array" ref="Z46">_xlfn.XLOOKUP(Table1[[#This Row],[2026 - Final Severity of Needs]]&amp;Table1[[#This Row],[Priority]],'2. Lookup'!A:A&amp;'2. Lookup'!B:B,'2. Lookup'!C:C,0)</f>
        <v>0.2</v>
      </c>
      <c r="AA46" s="49">
        <f>Table1[[#This Row],[Target Coverage]]*Table1[[#This Row],[2026 - PiN]]</f>
        <v>16560</v>
      </c>
      <c r="AB46" s="49">
        <f>IFERROR(Table1[[#This Row],[Target Coverage]]*Table1[[#This Row],[ IDPs ]],0)</f>
        <v>15926.400000000001</v>
      </c>
      <c r="AC46" s="49">
        <f>IFERROR(Table1[[#This Row],[Target Coverage]]*Table1[[#This Row],[ Returnees ]],0)</f>
        <v>0</v>
      </c>
      <c r="AD46" s="49">
        <f>IFERROR(Table1[[#This Row],[Target Coverage]]*Table1[[#This Row],[ Refugees in Sudan ]],0)</f>
        <v>633.6</v>
      </c>
    </row>
    <row r="47" spans="1:30" x14ac:dyDescent="0.25">
      <c r="A47" s="1" t="s">
        <v>57</v>
      </c>
      <c r="B47" s="1" t="s">
        <v>98</v>
      </c>
      <c r="C47" s="1" t="s">
        <v>99</v>
      </c>
      <c r="D47" s="2">
        <v>7530</v>
      </c>
      <c r="E47" s="1" t="s">
        <v>23</v>
      </c>
      <c r="F47" s="2">
        <v>1492</v>
      </c>
      <c r="G47" s="2">
        <f>SUM(Table1[[#This Row],[ IDPs ]:[ Refugees in Sudan ]])</f>
        <v>9022</v>
      </c>
      <c r="H47" s="30">
        <v>3</v>
      </c>
      <c r="I47" s="2">
        <v>26288</v>
      </c>
      <c r="J47" s="4" t="s">
        <v>414</v>
      </c>
      <c r="K4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47" s="4"/>
      <c r="M47" s="4"/>
      <c r="N47" s="4"/>
      <c r="O47" s="4"/>
      <c r="P47" s="4">
        <f>MAX(Table1[[#This Row],['#Protection Partners]:['# MA Partners]])</f>
        <v>0</v>
      </c>
      <c r="Q47" s="35">
        <f>IF(Table1[[#This Row],[OVERALL PARTNERS]]&lt;=0,1,IF(Table1[[#This Row],[OVERALL PARTNERS]]&lt;6,0.5,IF(Table1[[#This Row],[OVERALL PARTNERS]]&lt;10,0,0)))</f>
        <v>1</v>
      </c>
      <c r="R47" s="4"/>
      <c r="S47" s="4"/>
      <c r="T47" s="4"/>
      <c r="U47" s="4"/>
      <c r="V47" s="13">
        <f>MAX(Table1[[#This Row],[People Reached Protection]:[People Reached MA]])/Table1[[#This Row],[2025 - Targets]]</f>
        <v>0</v>
      </c>
      <c r="W47" s="34">
        <f>IF(Table1[[#This Row],[OVERALL REACHED]]&gt;50%,0,IF(Table1[[#This Row],[OVERALL REACHED]]&gt;0%,1,2))</f>
        <v>2</v>
      </c>
      <c r="X47" s="37">
        <f>SUM(Table1[[#This Row],[ACCESS SCORE]],Table1[[#This Row],[PARTNER PRESENCE SCORE]],Table1[[#This Row],[''Neglected'' LOCATION SCORE (REACHED)]])</f>
        <v>4</v>
      </c>
      <c r="Y4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47" s="13" cm="1">
        <f t="array" ref="Z47">_xlfn.XLOOKUP(Table1[[#This Row],[2026 - Final Severity of Needs]]&amp;Table1[[#This Row],[Priority]],'2. Lookup'!A:A&amp;'2. Lookup'!B:B,'2. Lookup'!C:C,0)</f>
        <v>0.1</v>
      </c>
      <c r="AA47" s="49">
        <f>Table1[[#This Row],[Target Coverage]]*Table1[[#This Row],[2026 - PiN]]</f>
        <v>902.2</v>
      </c>
      <c r="AB47" s="49">
        <f>IFERROR(Table1[[#This Row],[Target Coverage]]*Table1[[#This Row],[ IDPs ]],0)</f>
        <v>753</v>
      </c>
      <c r="AC47" s="49">
        <f>IFERROR(Table1[[#This Row],[Target Coverage]]*Table1[[#This Row],[ Returnees ]],0)</f>
        <v>0</v>
      </c>
      <c r="AD47" s="49">
        <f>IFERROR(Table1[[#This Row],[Target Coverage]]*Table1[[#This Row],[ Refugees in Sudan ]],0)</f>
        <v>149.20000000000002</v>
      </c>
    </row>
    <row r="48" spans="1:30" x14ac:dyDescent="0.25">
      <c r="A48" s="3" t="s">
        <v>100</v>
      </c>
      <c r="B48" s="5" t="s">
        <v>101</v>
      </c>
      <c r="C48" s="3" t="s">
        <v>102</v>
      </c>
      <c r="D48" s="4">
        <v>3830</v>
      </c>
      <c r="E48" s="3" t="s">
        <v>23</v>
      </c>
      <c r="F48" s="3" t="s">
        <v>24</v>
      </c>
      <c r="G48" s="12">
        <f>SUM(Table1[[#This Row],[ IDPs ]:[ Refugees in Sudan ]])</f>
        <v>3830</v>
      </c>
      <c r="H48" s="31">
        <v>3</v>
      </c>
      <c r="I48" s="12">
        <v>13573</v>
      </c>
      <c r="J48" s="4" t="s">
        <v>412</v>
      </c>
      <c r="K4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48" s="4"/>
      <c r="M48" s="4"/>
      <c r="N48" s="4"/>
      <c r="O48" s="4"/>
      <c r="P48" s="4">
        <f>MAX(Table1[[#This Row],['#Protection Partners]:['# MA Partners]])</f>
        <v>0</v>
      </c>
      <c r="Q48" s="35">
        <f>IF(Table1[[#This Row],[OVERALL PARTNERS]]&lt;=0,1,IF(Table1[[#This Row],[OVERALL PARTNERS]]&lt;6,0.5,IF(Table1[[#This Row],[OVERALL PARTNERS]]&lt;10,0,0)))</f>
        <v>1</v>
      </c>
      <c r="R48" s="4"/>
      <c r="S48" s="4"/>
      <c r="T48" s="4"/>
      <c r="U48" s="4"/>
      <c r="V48" s="13">
        <f>MAX(Table1[[#This Row],[People Reached Protection]:[People Reached MA]])/Table1[[#This Row],[2025 - Targets]]</f>
        <v>0</v>
      </c>
      <c r="W48" s="34">
        <f>IF(Table1[[#This Row],[OVERALL REACHED]]&gt;50%,0,IF(Table1[[#This Row],[OVERALL REACHED]]&gt;0%,1,2))</f>
        <v>2</v>
      </c>
      <c r="X48" s="37">
        <f>SUM(Table1[[#This Row],[ACCESS SCORE]],Table1[[#This Row],[PARTNER PRESENCE SCORE]],Table1[[#This Row],[''Neglected'' LOCATION SCORE (REACHED)]])</f>
        <v>7</v>
      </c>
      <c r="Y4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48" s="13" cm="1">
        <f t="array" ref="Z48">_xlfn.XLOOKUP(Table1[[#This Row],[2026 - Final Severity of Needs]]&amp;Table1[[#This Row],[Priority]],'2. Lookup'!A:A&amp;'2. Lookup'!B:B,'2. Lookup'!C:C,0)</f>
        <v>0.2</v>
      </c>
      <c r="AA48" s="49">
        <f>Table1[[#This Row],[Target Coverage]]*Table1[[#This Row],[2026 - PiN]]</f>
        <v>766</v>
      </c>
      <c r="AB48" s="49">
        <f>IFERROR(Table1[[#This Row],[Target Coverage]]*Table1[[#This Row],[ IDPs ]],0)</f>
        <v>766</v>
      </c>
      <c r="AC48" s="49">
        <f>IFERROR(Table1[[#This Row],[Target Coverage]]*Table1[[#This Row],[ Returnees ]],0)</f>
        <v>0</v>
      </c>
      <c r="AD48" s="49">
        <f>IFERROR(Table1[[#This Row],[Target Coverage]]*Table1[[#This Row],[ Refugees in Sudan ]],0)</f>
        <v>0</v>
      </c>
    </row>
    <row r="49" spans="1:30" x14ac:dyDescent="0.25">
      <c r="A49" s="1" t="s">
        <v>100</v>
      </c>
      <c r="B49" s="1" t="s">
        <v>103</v>
      </c>
      <c r="C49" s="1" t="s">
        <v>104</v>
      </c>
      <c r="D49" s="2">
        <v>117670</v>
      </c>
      <c r="E49" s="1">
        <v>840</v>
      </c>
      <c r="F49" s="1">
        <v>246</v>
      </c>
      <c r="G49" s="2">
        <f>SUM(Table1[[#This Row],[ IDPs ]:[ Refugees in Sudan ]])</f>
        <v>118756</v>
      </c>
      <c r="H49" s="30">
        <v>4</v>
      </c>
      <c r="I49" s="2">
        <v>83413</v>
      </c>
      <c r="J49" s="4" t="s">
        <v>415</v>
      </c>
      <c r="K4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49" s="4"/>
      <c r="M49" s="4"/>
      <c r="N49" s="4"/>
      <c r="O49" s="4"/>
      <c r="P49" s="4">
        <f>MAX(Table1[[#This Row],['#Protection Partners]:['# MA Partners]])</f>
        <v>0</v>
      </c>
      <c r="Q49" s="35">
        <f>IF(Table1[[#This Row],[OVERALL PARTNERS]]&lt;=0,1,IF(Table1[[#This Row],[OVERALL PARTNERS]]&lt;6,0.5,IF(Table1[[#This Row],[OVERALL PARTNERS]]&lt;10,0,0)))</f>
        <v>1</v>
      </c>
      <c r="R49" s="4"/>
      <c r="S49" s="4"/>
      <c r="T49" s="4"/>
      <c r="U49" s="4"/>
      <c r="V49" s="13">
        <f>MAX(Table1[[#This Row],[People Reached Protection]:[People Reached MA]])/Table1[[#This Row],[2025 - Targets]]</f>
        <v>0</v>
      </c>
      <c r="W49" s="34">
        <f>IF(Table1[[#This Row],[OVERALL REACHED]]&gt;50%,0,IF(Table1[[#This Row],[OVERALL REACHED]]&gt;0%,1,2))</f>
        <v>2</v>
      </c>
      <c r="X49" s="37">
        <f>SUM(Table1[[#This Row],[ACCESS SCORE]],Table1[[#This Row],[PARTNER PRESENCE SCORE]],Table1[[#This Row],[''Neglected'' LOCATION SCORE (REACHED)]])</f>
        <v>8</v>
      </c>
      <c r="Y4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49" s="13" cm="1">
        <f t="array" ref="Z49">_xlfn.XLOOKUP(Table1[[#This Row],[2026 - Final Severity of Needs]]&amp;Table1[[#This Row],[Priority]],'2. Lookup'!A:A&amp;'2. Lookup'!B:B,'2. Lookup'!C:C,0)</f>
        <v>0.6</v>
      </c>
      <c r="AA49" s="49">
        <f>Table1[[#This Row],[Target Coverage]]*Table1[[#This Row],[2026 - PiN]]</f>
        <v>71253.599999999991</v>
      </c>
      <c r="AB49" s="49">
        <f>IFERROR(Table1[[#This Row],[Target Coverage]]*Table1[[#This Row],[ IDPs ]],0)</f>
        <v>70602</v>
      </c>
      <c r="AC49" s="49">
        <f>IFERROR(Table1[[#This Row],[Target Coverage]]*Table1[[#This Row],[ Returnees ]],0)</f>
        <v>504</v>
      </c>
      <c r="AD49" s="49">
        <f>IFERROR(Table1[[#This Row],[Target Coverage]]*Table1[[#This Row],[ Refugees in Sudan ]],0)</f>
        <v>147.6</v>
      </c>
    </row>
    <row r="50" spans="1:30" x14ac:dyDescent="0.25">
      <c r="A50" s="3" t="s">
        <v>100</v>
      </c>
      <c r="B50" s="3" t="s">
        <v>105</v>
      </c>
      <c r="C50" s="3" t="s">
        <v>106</v>
      </c>
      <c r="D50" s="4">
        <v>24550</v>
      </c>
      <c r="E50" s="3">
        <v>115</v>
      </c>
      <c r="F50" s="3" t="s">
        <v>24</v>
      </c>
      <c r="G50" s="4">
        <f>SUM(Table1[[#This Row],[ IDPs ]:[ Refugees in Sudan ]])</f>
        <v>24665</v>
      </c>
      <c r="H50" s="29">
        <v>3</v>
      </c>
      <c r="I50" s="4">
        <v>12599</v>
      </c>
      <c r="J50" s="4" t="s">
        <v>410</v>
      </c>
      <c r="K5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50" s="4"/>
      <c r="M50" s="4"/>
      <c r="N50" s="4"/>
      <c r="O50" s="4"/>
      <c r="P50" s="4">
        <f>MAX(Table1[[#This Row],['#Protection Partners]:['# MA Partners]])</f>
        <v>0</v>
      </c>
      <c r="Q50" s="35">
        <f>IF(Table1[[#This Row],[OVERALL PARTNERS]]&lt;=0,1,IF(Table1[[#This Row],[OVERALL PARTNERS]]&lt;6,0.5,IF(Table1[[#This Row],[OVERALL PARTNERS]]&lt;10,0,0)))</f>
        <v>1</v>
      </c>
      <c r="R50" s="4"/>
      <c r="S50" s="4"/>
      <c r="T50" s="4"/>
      <c r="U50" s="4"/>
      <c r="V50" s="13">
        <f>MAX(Table1[[#This Row],[People Reached Protection]:[People Reached MA]])/Table1[[#This Row],[2025 - Targets]]</f>
        <v>0</v>
      </c>
      <c r="W50" s="34">
        <f>IF(Table1[[#This Row],[OVERALL REACHED]]&gt;50%,0,IF(Table1[[#This Row],[OVERALL REACHED]]&gt;0%,1,2))</f>
        <v>2</v>
      </c>
      <c r="X50" s="37">
        <f>SUM(Table1[[#This Row],[ACCESS SCORE]],Table1[[#This Row],[PARTNER PRESENCE SCORE]],Table1[[#This Row],[''Neglected'' LOCATION SCORE (REACHED)]])</f>
        <v>6</v>
      </c>
      <c r="Y5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50" s="13" cm="1">
        <f t="array" ref="Z50">_xlfn.XLOOKUP(Table1[[#This Row],[2026 - Final Severity of Needs]]&amp;Table1[[#This Row],[Priority]],'2. Lookup'!A:A&amp;'2. Lookup'!B:B,'2. Lookup'!C:C,0)</f>
        <v>0.2</v>
      </c>
      <c r="AA50" s="49">
        <f>Table1[[#This Row],[Target Coverage]]*Table1[[#This Row],[2026 - PiN]]</f>
        <v>4933</v>
      </c>
      <c r="AB50" s="49">
        <f>IFERROR(Table1[[#This Row],[Target Coverage]]*Table1[[#This Row],[ IDPs ]],0)</f>
        <v>4910</v>
      </c>
      <c r="AC50" s="49">
        <f>IFERROR(Table1[[#This Row],[Target Coverage]]*Table1[[#This Row],[ Returnees ]],0)</f>
        <v>23</v>
      </c>
      <c r="AD50" s="49">
        <f>IFERROR(Table1[[#This Row],[Target Coverage]]*Table1[[#This Row],[ Refugees in Sudan ]],0)</f>
        <v>0</v>
      </c>
    </row>
    <row r="51" spans="1:30" x14ac:dyDescent="0.25">
      <c r="A51" s="1" t="s">
        <v>100</v>
      </c>
      <c r="B51" s="1" t="s">
        <v>107</v>
      </c>
      <c r="C51" s="1" t="s">
        <v>108</v>
      </c>
      <c r="D51" s="2">
        <v>26640</v>
      </c>
      <c r="E51" s="1">
        <v>570</v>
      </c>
      <c r="F51" s="1">
        <v>54</v>
      </c>
      <c r="G51" s="2">
        <f>SUM(Table1[[#This Row],[ IDPs ]:[ Refugees in Sudan ]])</f>
        <v>27264</v>
      </c>
      <c r="H51" s="30">
        <v>4</v>
      </c>
      <c r="I51" s="2">
        <v>25984</v>
      </c>
      <c r="J51" s="4" t="s">
        <v>412</v>
      </c>
      <c r="K5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51" s="4"/>
      <c r="M51" s="4"/>
      <c r="N51" s="4"/>
      <c r="O51" s="4"/>
      <c r="P51" s="4">
        <f>MAX(Table1[[#This Row],['#Protection Partners]:['# MA Partners]])</f>
        <v>0</v>
      </c>
      <c r="Q51" s="35">
        <f>IF(Table1[[#This Row],[OVERALL PARTNERS]]&lt;=0,1,IF(Table1[[#This Row],[OVERALL PARTNERS]]&lt;6,0.5,IF(Table1[[#This Row],[OVERALL PARTNERS]]&lt;10,0,0)))</f>
        <v>1</v>
      </c>
      <c r="R51" s="4"/>
      <c r="S51" s="4"/>
      <c r="T51" s="4"/>
      <c r="U51" s="4"/>
      <c r="V51" s="13">
        <f>MAX(Table1[[#This Row],[People Reached Protection]:[People Reached MA]])/Table1[[#This Row],[2025 - Targets]]</f>
        <v>0</v>
      </c>
      <c r="W51" s="34">
        <f>IF(Table1[[#This Row],[OVERALL REACHED]]&gt;50%,0,IF(Table1[[#This Row],[OVERALL REACHED]]&gt;0%,1,2))</f>
        <v>2</v>
      </c>
      <c r="X51" s="37">
        <f>SUM(Table1[[#This Row],[ACCESS SCORE]],Table1[[#This Row],[PARTNER PRESENCE SCORE]],Table1[[#This Row],[''Neglected'' LOCATION SCORE (REACHED)]])</f>
        <v>7</v>
      </c>
      <c r="Y5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51" s="13" cm="1">
        <f t="array" ref="Z51">_xlfn.XLOOKUP(Table1[[#This Row],[2026 - Final Severity of Needs]]&amp;Table1[[#This Row],[Priority]],'2. Lookup'!A:A&amp;'2. Lookup'!B:B,'2. Lookup'!C:C,0)</f>
        <v>0.4</v>
      </c>
      <c r="AA51" s="49">
        <f>Table1[[#This Row],[Target Coverage]]*Table1[[#This Row],[2026 - PiN]]</f>
        <v>10905.6</v>
      </c>
      <c r="AB51" s="49">
        <f>IFERROR(Table1[[#This Row],[Target Coverage]]*Table1[[#This Row],[ IDPs ]],0)</f>
        <v>10656</v>
      </c>
      <c r="AC51" s="49">
        <f>IFERROR(Table1[[#This Row],[Target Coverage]]*Table1[[#This Row],[ Returnees ]],0)</f>
        <v>228</v>
      </c>
      <c r="AD51" s="49">
        <f>IFERROR(Table1[[#This Row],[Target Coverage]]*Table1[[#This Row],[ Refugees in Sudan ]],0)</f>
        <v>21.6</v>
      </c>
    </row>
    <row r="52" spans="1:30" x14ac:dyDescent="0.25">
      <c r="A52" s="3" t="s">
        <v>100</v>
      </c>
      <c r="B52" s="3" t="s">
        <v>109</v>
      </c>
      <c r="C52" s="3" t="s">
        <v>110</v>
      </c>
      <c r="D52" s="4">
        <v>53980</v>
      </c>
      <c r="E52" s="4">
        <v>1250</v>
      </c>
      <c r="F52" s="3" t="s">
        <v>24</v>
      </c>
      <c r="G52" s="4">
        <f>SUM(Table1[[#This Row],[ IDPs ]:[ Refugees in Sudan ]])</f>
        <v>55230</v>
      </c>
      <c r="H52" s="29">
        <v>4</v>
      </c>
      <c r="I52" s="4">
        <v>49504</v>
      </c>
      <c r="J52" s="4" t="s">
        <v>411</v>
      </c>
      <c r="K5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52" s="4"/>
      <c r="M52" s="4"/>
      <c r="N52" s="4"/>
      <c r="O52" s="4"/>
      <c r="P52" s="4">
        <f>MAX(Table1[[#This Row],['#Protection Partners]:['# MA Partners]])</f>
        <v>0</v>
      </c>
      <c r="Q52" s="35">
        <f>IF(Table1[[#This Row],[OVERALL PARTNERS]]&lt;=0,1,IF(Table1[[#This Row],[OVERALL PARTNERS]]&lt;6,0.5,IF(Table1[[#This Row],[OVERALL PARTNERS]]&lt;10,0,0)))</f>
        <v>1</v>
      </c>
      <c r="R52" s="4"/>
      <c r="S52" s="4"/>
      <c r="T52" s="4"/>
      <c r="U52" s="4"/>
      <c r="V52" s="13">
        <f>MAX(Table1[[#This Row],[People Reached Protection]:[People Reached MA]])/Table1[[#This Row],[2025 - Targets]]</f>
        <v>0</v>
      </c>
      <c r="W52" s="34">
        <f>IF(Table1[[#This Row],[OVERALL REACHED]]&gt;50%,0,IF(Table1[[#This Row],[OVERALL REACHED]]&gt;0%,1,2))</f>
        <v>2</v>
      </c>
      <c r="X52" s="37">
        <f>SUM(Table1[[#This Row],[ACCESS SCORE]],Table1[[#This Row],[PARTNER PRESENCE SCORE]],Table1[[#This Row],[''Neglected'' LOCATION SCORE (REACHED)]])</f>
        <v>5</v>
      </c>
      <c r="Y5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52" s="13" cm="1">
        <f t="array" ref="Z52">_xlfn.XLOOKUP(Table1[[#This Row],[2026 - Final Severity of Needs]]&amp;Table1[[#This Row],[Priority]],'2. Lookup'!A:A&amp;'2. Lookup'!B:B,'2. Lookup'!C:C,0)</f>
        <v>0.2</v>
      </c>
      <c r="AA52" s="49">
        <f>Table1[[#This Row],[Target Coverage]]*Table1[[#This Row],[2026 - PiN]]</f>
        <v>11046</v>
      </c>
      <c r="AB52" s="49">
        <f>IFERROR(Table1[[#This Row],[Target Coverage]]*Table1[[#This Row],[ IDPs ]],0)</f>
        <v>10796</v>
      </c>
      <c r="AC52" s="49">
        <f>IFERROR(Table1[[#This Row],[Target Coverage]]*Table1[[#This Row],[ Returnees ]],0)</f>
        <v>250</v>
      </c>
      <c r="AD52" s="49">
        <f>IFERROR(Table1[[#This Row],[Target Coverage]]*Table1[[#This Row],[ Refugees in Sudan ]],0)</f>
        <v>0</v>
      </c>
    </row>
    <row r="53" spans="1:30" x14ac:dyDescent="0.25">
      <c r="A53" s="1" t="s">
        <v>100</v>
      </c>
      <c r="B53" s="1" t="s">
        <v>111</v>
      </c>
      <c r="C53" s="1" t="s">
        <v>112</v>
      </c>
      <c r="D53" s="2">
        <v>66625</v>
      </c>
      <c r="E53" s="1" t="s">
        <v>23</v>
      </c>
      <c r="F53" s="1" t="s">
        <v>24</v>
      </c>
      <c r="G53" s="2">
        <f>SUM(Table1[[#This Row],[ IDPs ]:[ Refugees in Sudan ]])</f>
        <v>66625</v>
      </c>
      <c r="H53" s="30">
        <v>4</v>
      </c>
      <c r="I53" s="2">
        <v>51840</v>
      </c>
      <c r="J53" s="4" t="s">
        <v>415</v>
      </c>
      <c r="K5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53" s="4"/>
      <c r="M53" s="4"/>
      <c r="N53" s="4"/>
      <c r="O53" s="4"/>
      <c r="P53" s="4">
        <f>MAX(Table1[[#This Row],['#Protection Partners]:['# MA Partners]])</f>
        <v>0</v>
      </c>
      <c r="Q53" s="35">
        <f>IF(Table1[[#This Row],[OVERALL PARTNERS]]&lt;=0,1,IF(Table1[[#This Row],[OVERALL PARTNERS]]&lt;6,0.5,IF(Table1[[#This Row],[OVERALL PARTNERS]]&lt;10,0,0)))</f>
        <v>1</v>
      </c>
      <c r="R53" s="4"/>
      <c r="S53" s="4"/>
      <c r="T53" s="4"/>
      <c r="U53" s="4"/>
      <c r="V53" s="13">
        <f>MAX(Table1[[#This Row],[People Reached Protection]:[People Reached MA]])/Table1[[#This Row],[2025 - Targets]]</f>
        <v>0</v>
      </c>
      <c r="W53" s="34">
        <f>IF(Table1[[#This Row],[OVERALL REACHED]]&gt;50%,0,IF(Table1[[#This Row],[OVERALL REACHED]]&gt;0%,1,2))</f>
        <v>2</v>
      </c>
      <c r="X53" s="37">
        <f>SUM(Table1[[#This Row],[ACCESS SCORE]],Table1[[#This Row],[PARTNER PRESENCE SCORE]],Table1[[#This Row],[''Neglected'' LOCATION SCORE (REACHED)]])</f>
        <v>8</v>
      </c>
      <c r="Y5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53" s="13" cm="1">
        <f t="array" ref="Z53">_xlfn.XLOOKUP(Table1[[#This Row],[2026 - Final Severity of Needs]]&amp;Table1[[#This Row],[Priority]],'2. Lookup'!A:A&amp;'2. Lookup'!B:B,'2. Lookup'!C:C,0)</f>
        <v>0.6</v>
      </c>
      <c r="AA53" s="49">
        <f>Table1[[#This Row],[Target Coverage]]*Table1[[#This Row],[2026 - PiN]]</f>
        <v>39975</v>
      </c>
      <c r="AB53" s="49">
        <f>IFERROR(Table1[[#This Row],[Target Coverage]]*Table1[[#This Row],[ IDPs ]],0)</f>
        <v>39975</v>
      </c>
      <c r="AC53" s="49">
        <f>IFERROR(Table1[[#This Row],[Target Coverage]]*Table1[[#This Row],[ Returnees ]],0)</f>
        <v>0</v>
      </c>
      <c r="AD53" s="49">
        <f>IFERROR(Table1[[#This Row],[Target Coverage]]*Table1[[#This Row],[ Refugees in Sudan ]],0)</f>
        <v>0</v>
      </c>
    </row>
    <row r="54" spans="1:30" x14ac:dyDescent="0.25">
      <c r="A54" s="3" t="s">
        <v>100</v>
      </c>
      <c r="B54" s="3" t="s">
        <v>113</v>
      </c>
      <c r="C54" s="3" t="s">
        <v>114</v>
      </c>
      <c r="D54" s="4">
        <v>32172</v>
      </c>
      <c r="E54" s="3">
        <v>885</v>
      </c>
      <c r="F54" s="3" t="s">
        <v>24</v>
      </c>
      <c r="G54" s="4">
        <f>SUM(Table1[[#This Row],[ IDPs ]:[ Refugees in Sudan ]])</f>
        <v>33057</v>
      </c>
      <c r="H54" s="29">
        <v>4</v>
      </c>
      <c r="I54" s="4">
        <v>31193</v>
      </c>
      <c r="J54" s="4" t="s">
        <v>412</v>
      </c>
      <c r="K5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54" s="4"/>
      <c r="M54" s="4"/>
      <c r="N54" s="4"/>
      <c r="O54" s="4"/>
      <c r="P54" s="4">
        <f>MAX(Table1[[#This Row],['#Protection Partners]:['# MA Partners]])</f>
        <v>0</v>
      </c>
      <c r="Q54" s="35">
        <f>IF(Table1[[#This Row],[OVERALL PARTNERS]]&lt;=0,1,IF(Table1[[#This Row],[OVERALL PARTNERS]]&lt;6,0.5,IF(Table1[[#This Row],[OVERALL PARTNERS]]&lt;10,0,0)))</f>
        <v>1</v>
      </c>
      <c r="R54" s="4"/>
      <c r="S54" s="4"/>
      <c r="T54" s="4"/>
      <c r="U54" s="4"/>
      <c r="V54" s="13">
        <f>MAX(Table1[[#This Row],[People Reached Protection]:[People Reached MA]])/Table1[[#This Row],[2025 - Targets]]</f>
        <v>0</v>
      </c>
      <c r="W54" s="34">
        <f>IF(Table1[[#This Row],[OVERALL REACHED]]&gt;50%,0,IF(Table1[[#This Row],[OVERALL REACHED]]&gt;0%,1,2))</f>
        <v>2</v>
      </c>
      <c r="X54" s="37">
        <f>SUM(Table1[[#This Row],[ACCESS SCORE]],Table1[[#This Row],[PARTNER PRESENCE SCORE]],Table1[[#This Row],[''Neglected'' LOCATION SCORE (REACHED)]])</f>
        <v>7</v>
      </c>
      <c r="Y5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54" s="13" cm="1">
        <f t="array" ref="Z54">_xlfn.XLOOKUP(Table1[[#This Row],[2026 - Final Severity of Needs]]&amp;Table1[[#This Row],[Priority]],'2. Lookup'!A:A&amp;'2. Lookup'!B:B,'2. Lookup'!C:C,0)</f>
        <v>0.4</v>
      </c>
      <c r="AA54" s="49">
        <f>Table1[[#This Row],[Target Coverage]]*Table1[[#This Row],[2026 - PiN]]</f>
        <v>13222.800000000001</v>
      </c>
      <c r="AB54" s="49">
        <f>IFERROR(Table1[[#This Row],[Target Coverage]]*Table1[[#This Row],[ IDPs ]],0)</f>
        <v>12868.800000000001</v>
      </c>
      <c r="AC54" s="49">
        <f>IFERROR(Table1[[#This Row],[Target Coverage]]*Table1[[#This Row],[ Returnees ]],0)</f>
        <v>354</v>
      </c>
      <c r="AD54" s="49">
        <f>IFERROR(Table1[[#This Row],[Target Coverage]]*Table1[[#This Row],[ Refugees in Sudan ]],0)</f>
        <v>0</v>
      </c>
    </row>
    <row r="55" spans="1:30" x14ac:dyDescent="0.25">
      <c r="A55" s="1" t="s">
        <v>100</v>
      </c>
      <c r="B55" s="1" t="s">
        <v>115</v>
      </c>
      <c r="C55" s="1" t="s">
        <v>116</v>
      </c>
      <c r="D55" s="2">
        <v>32845</v>
      </c>
      <c r="E55" s="1">
        <v>260</v>
      </c>
      <c r="F55" s="1" t="s">
        <v>24</v>
      </c>
      <c r="G55" s="2">
        <f>SUM(Table1[[#This Row],[ IDPs ]:[ Refugees in Sudan ]])</f>
        <v>33105</v>
      </c>
      <c r="H55" s="30">
        <v>4</v>
      </c>
      <c r="I55" s="2">
        <v>27734</v>
      </c>
      <c r="J55" s="4" t="s">
        <v>415</v>
      </c>
      <c r="K5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55" s="4"/>
      <c r="M55" s="4"/>
      <c r="N55" s="4"/>
      <c r="O55" s="4"/>
      <c r="P55" s="4">
        <f>MAX(Table1[[#This Row],['#Protection Partners]:['# MA Partners]])</f>
        <v>0</v>
      </c>
      <c r="Q55" s="35">
        <f>IF(Table1[[#This Row],[OVERALL PARTNERS]]&lt;=0,1,IF(Table1[[#This Row],[OVERALL PARTNERS]]&lt;6,0.5,IF(Table1[[#This Row],[OVERALL PARTNERS]]&lt;10,0,0)))</f>
        <v>1</v>
      </c>
      <c r="R55" s="4"/>
      <c r="S55" s="4"/>
      <c r="T55" s="4"/>
      <c r="U55" s="4"/>
      <c r="V55" s="13">
        <f>MAX(Table1[[#This Row],[People Reached Protection]:[People Reached MA]])/Table1[[#This Row],[2025 - Targets]]</f>
        <v>0</v>
      </c>
      <c r="W55" s="34">
        <f>IF(Table1[[#This Row],[OVERALL REACHED]]&gt;50%,0,IF(Table1[[#This Row],[OVERALL REACHED]]&gt;0%,1,2))</f>
        <v>2</v>
      </c>
      <c r="X55" s="37">
        <f>SUM(Table1[[#This Row],[ACCESS SCORE]],Table1[[#This Row],[PARTNER PRESENCE SCORE]],Table1[[#This Row],[''Neglected'' LOCATION SCORE (REACHED)]])</f>
        <v>8</v>
      </c>
      <c r="Y5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55" s="13" cm="1">
        <f t="array" ref="Z55">_xlfn.XLOOKUP(Table1[[#This Row],[2026 - Final Severity of Needs]]&amp;Table1[[#This Row],[Priority]],'2. Lookup'!A:A&amp;'2. Lookup'!B:B,'2. Lookup'!C:C,0)</f>
        <v>0.6</v>
      </c>
      <c r="AA55" s="49">
        <f>Table1[[#This Row],[Target Coverage]]*Table1[[#This Row],[2026 - PiN]]</f>
        <v>19863</v>
      </c>
      <c r="AB55" s="49">
        <f>IFERROR(Table1[[#This Row],[Target Coverage]]*Table1[[#This Row],[ IDPs ]],0)</f>
        <v>19707</v>
      </c>
      <c r="AC55" s="49">
        <f>IFERROR(Table1[[#This Row],[Target Coverage]]*Table1[[#This Row],[ Returnees ]],0)</f>
        <v>156</v>
      </c>
      <c r="AD55" s="49">
        <f>IFERROR(Table1[[#This Row],[Target Coverage]]*Table1[[#This Row],[ Refugees in Sudan ]],0)</f>
        <v>0</v>
      </c>
    </row>
    <row r="56" spans="1:30" x14ac:dyDescent="0.25">
      <c r="A56" s="3" t="s">
        <v>117</v>
      </c>
      <c r="B56" s="3" t="s">
        <v>118</v>
      </c>
      <c r="C56" s="3" t="s">
        <v>119</v>
      </c>
      <c r="D56" s="4">
        <v>53737</v>
      </c>
      <c r="E56" s="3" t="s">
        <v>23</v>
      </c>
      <c r="F56" s="4">
        <v>2506</v>
      </c>
      <c r="G56" s="4">
        <f>SUM(Table1[[#This Row],[ IDPs ]:[ Refugees in Sudan ]])</f>
        <v>56243</v>
      </c>
      <c r="H56" s="29">
        <v>3</v>
      </c>
      <c r="I56" s="4">
        <v>84083</v>
      </c>
      <c r="J56" s="4" t="s">
        <v>410</v>
      </c>
      <c r="K5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56" s="4"/>
      <c r="M56" s="4"/>
      <c r="N56" s="4"/>
      <c r="O56" s="4"/>
      <c r="P56" s="4">
        <f>MAX(Table1[[#This Row],['#Protection Partners]:['# MA Partners]])</f>
        <v>0</v>
      </c>
      <c r="Q56" s="35">
        <f>IF(Table1[[#This Row],[OVERALL PARTNERS]]&lt;=0,1,IF(Table1[[#This Row],[OVERALL PARTNERS]]&lt;6,0.5,IF(Table1[[#This Row],[OVERALL PARTNERS]]&lt;10,0,0)))</f>
        <v>1</v>
      </c>
      <c r="R56" s="4"/>
      <c r="S56" s="4"/>
      <c r="T56" s="4"/>
      <c r="U56" s="4"/>
      <c r="V56" s="13">
        <f>MAX(Table1[[#This Row],[People Reached Protection]:[People Reached MA]])/Table1[[#This Row],[2025 - Targets]]</f>
        <v>0</v>
      </c>
      <c r="W56" s="34">
        <f>IF(Table1[[#This Row],[OVERALL REACHED]]&gt;50%,0,IF(Table1[[#This Row],[OVERALL REACHED]]&gt;0%,1,2))</f>
        <v>2</v>
      </c>
      <c r="X56" s="37">
        <f>SUM(Table1[[#This Row],[ACCESS SCORE]],Table1[[#This Row],[PARTNER PRESENCE SCORE]],Table1[[#This Row],[''Neglected'' LOCATION SCORE (REACHED)]])</f>
        <v>6</v>
      </c>
      <c r="Y5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56" s="13" cm="1">
        <f t="array" ref="Z56">_xlfn.XLOOKUP(Table1[[#This Row],[2026 - Final Severity of Needs]]&amp;Table1[[#This Row],[Priority]],'2. Lookup'!A:A&amp;'2. Lookup'!B:B,'2. Lookup'!C:C,0)</f>
        <v>0.2</v>
      </c>
      <c r="AA56" s="49">
        <f>Table1[[#This Row],[Target Coverage]]*Table1[[#This Row],[2026 - PiN]]</f>
        <v>11248.6</v>
      </c>
      <c r="AB56" s="49">
        <f>IFERROR(Table1[[#This Row],[Target Coverage]]*Table1[[#This Row],[ IDPs ]],0)</f>
        <v>10747.400000000001</v>
      </c>
      <c r="AC56" s="49">
        <f>IFERROR(Table1[[#This Row],[Target Coverage]]*Table1[[#This Row],[ Returnees ]],0)</f>
        <v>0</v>
      </c>
      <c r="AD56" s="49">
        <f>IFERROR(Table1[[#This Row],[Target Coverage]]*Table1[[#This Row],[ Refugees in Sudan ]],0)</f>
        <v>501.20000000000005</v>
      </c>
    </row>
    <row r="57" spans="1:30" x14ac:dyDescent="0.25">
      <c r="A57" s="1" t="s">
        <v>117</v>
      </c>
      <c r="B57" s="1" t="s">
        <v>120</v>
      </c>
      <c r="C57" s="1" t="s">
        <v>121</v>
      </c>
      <c r="D57" s="2">
        <v>45425</v>
      </c>
      <c r="E57" s="1" t="s">
        <v>23</v>
      </c>
      <c r="F57" s="2">
        <v>4178</v>
      </c>
      <c r="G57" s="2">
        <f>SUM(Table1[[#This Row],[ IDPs ]:[ Refugees in Sudan ]])</f>
        <v>49603</v>
      </c>
      <c r="H57" s="30">
        <v>3</v>
      </c>
      <c r="I57" s="2">
        <v>45560</v>
      </c>
      <c r="J57" s="4" t="s">
        <v>410</v>
      </c>
      <c r="K5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57" s="4"/>
      <c r="M57" s="4"/>
      <c r="N57" s="4"/>
      <c r="O57" s="4"/>
      <c r="P57" s="4">
        <f>MAX(Table1[[#This Row],['#Protection Partners]:['# MA Partners]])</f>
        <v>0</v>
      </c>
      <c r="Q57" s="35">
        <f>IF(Table1[[#This Row],[OVERALL PARTNERS]]&lt;=0,1,IF(Table1[[#This Row],[OVERALL PARTNERS]]&lt;6,0.5,IF(Table1[[#This Row],[OVERALL PARTNERS]]&lt;10,0,0)))</f>
        <v>1</v>
      </c>
      <c r="R57" s="4"/>
      <c r="S57" s="4"/>
      <c r="T57" s="4"/>
      <c r="U57" s="4"/>
      <c r="V57" s="13">
        <f>MAX(Table1[[#This Row],[People Reached Protection]:[People Reached MA]])/Table1[[#This Row],[2025 - Targets]]</f>
        <v>0</v>
      </c>
      <c r="W57" s="34">
        <f>IF(Table1[[#This Row],[OVERALL REACHED]]&gt;50%,0,IF(Table1[[#This Row],[OVERALL REACHED]]&gt;0%,1,2))</f>
        <v>2</v>
      </c>
      <c r="X57" s="37">
        <f>SUM(Table1[[#This Row],[ACCESS SCORE]],Table1[[#This Row],[PARTNER PRESENCE SCORE]],Table1[[#This Row],[''Neglected'' LOCATION SCORE (REACHED)]])</f>
        <v>6</v>
      </c>
      <c r="Y5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57" s="13" cm="1">
        <f t="array" ref="Z57">_xlfn.XLOOKUP(Table1[[#This Row],[2026 - Final Severity of Needs]]&amp;Table1[[#This Row],[Priority]],'2. Lookup'!A:A&amp;'2. Lookup'!B:B,'2. Lookup'!C:C,0)</f>
        <v>0.2</v>
      </c>
      <c r="AA57" s="49">
        <f>Table1[[#This Row],[Target Coverage]]*Table1[[#This Row],[2026 - PiN]]</f>
        <v>9920.6</v>
      </c>
      <c r="AB57" s="49">
        <f>IFERROR(Table1[[#This Row],[Target Coverage]]*Table1[[#This Row],[ IDPs ]],0)</f>
        <v>9085</v>
      </c>
      <c r="AC57" s="49">
        <f>IFERROR(Table1[[#This Row],[Target Coverage]]*Table1[[#This Row],[ Returnees ]],0)</f>
        <v>0</v>
      </c>
      <c r="AD57" s="49">
        <f>IFERROR(Table1[[#This Row],[Target Coverage]]*Table1[[#This Row],[ Refugees in Sudan ]],0)</f>
        <v>835.6</v>
      </c>
    </row>
    <row r="58" spans="1:30" x14ac:dyDescent="0.25">
      <c r="A58" s="3" t="s">
        <v>117</v>
      </c>
      <c r="B58" s="3" t="s">
        <v>122</v>
      </c>
      <c r="C58" s="3" t="s">
        <v>123</v>
      </c>
      <c r="D58" s="4">
        <v>218805</v>
      </c>
      <c r="E58" s="3" t="s">
        <v>23</v>
      </c>
      <c r="F58" s="3" t="s">
        <v>24</v>
      </c>
      <c r="G58" s="4">
        <f>SUM(Table1[[#This Row],[ IDPs ]:[ Refugees in Sudan ]])</f>
        <v>218805</v>
      </c>
      <c r="H58" s="29">
        <v>4</v>
      </c>
      <c r="I58" s="4">
        <v>161941</v>
      </c>
      <c r="J58" s="4" t="s">
        <v>411</v>
      </c>
      <c r="K5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58" s="4"/>
      <c r="M58" s="4"/>
      <c r="N58" s="4"/>
      <c r="O58" s="4"/>
      <c r="P58" s="4">
        <f>MAX(Table1[[#This Row],['#Protection Partners]:['# MA Partners]])</f>
        <v>0</v>
      </c>
      <c r="Q58" s="35">
        <f>IF(Table1[[#This Row],[OVERALL PARTNERS]]&lt;=0,1,IF(Table1[[#This Row],[OVERALL PARTNERS]]&lt;6,0.5,IF(Table1[[#This Row],[OVERALL PARTNERS]]&lt;10,0,0)))</f>
        <v>1</v>
      </c>
      <c r="R58" s="4"/>
      <c r="S58" s="4"/>
      <c r="T58" s="4"/>
      <c r="U58" s="4"/>
      <c r="V58" s="13">
        <f>MAX(Table1[[#This Row],[People Reached Protection]:[People Reached MA]])/Table1[[#This Row],[2025 - Targets]]</f>
        <v>0</v>
      </c>
      <c r="W58" s="34">
        <f>IF(Table1[[#This Row],[OVERALL REACHED]]&gt;50%,0,IF(Table1[[#This Row],[OVERALL REACHED]]&gt;0%,1,2))</f>
        <v>2</v>
      </c>
      <c r="X58" s="37">
        <f>SUM(Table1[[#This Row],[ACCESS SCORE]],Table1[[#This Row],[PARTNER PRESENCE SCORE]],Table1[[#This Row],[''Neglected'' LOCATION SCORE (REACHED)]])</f>
        <v>5</v>
      </c>
      <c r="Y5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58" s="13" cm="1">
        <f t="array" ref="Z58">_xlfn.XLOOKUP(Table1[[#This Row],[2026 - Final Severity of Needs]]&amp;Table1[[#This Row],[Priority]],'2. Lookup'!A:A&amp;'2. Lookup'!B:B,'2. Lookup'!C:C,0)</f>
        <v>0.2</v>
      </c>
      <c r="AA58" s="49">
        <f>Table1[[#This Row],[Target Coverage]]*Table1[[#This Row],[2026 - PiN]]</f>
        <v>43761</v>
      </c>
      <c r="AB58" s="49">
        <f>IFERROR(Table1[[#This Row],[Target Coverage]]*Table1[[#This Row],[ IDPs ]],0)</f>
        <v>43761</v>
      </c>
      <c r="AC58" s="49">
        <f>IFERROR(Table1[[#This Row],[Target Coverage]]*Table1[[#This Row],[ Returnees ]],0)</f>
        <v>0</v>
      </c>
      <c r="AD58" s="49">
        <f>IFERROR(Table1[[#This Row],[Target Coverage]]*Table1[[#This Row],[ Refugees in Sudan ]],0)</f>
        <v>0</v>
      </c>
    </row>
    <row r="59" spans="1:30" x14ac:dyDescent="0.25">
      <c r="A59" s="1" t="s">
        <v>117</v>
      </c>
      <c r="B59" s="1" t="s">
        <v>124</v>
      </c>
      <c r="C59" s="1" t="s">
        <v>125</v>
      </c>
      <c r="D59" s="2">
        <v>203610</v>
      </c>
      <c r="E59" s="1" t="s">
        <v>23</v>
      </c>
      <c r="F59" s="1" t="s">
        <v>24</v>
      </c>
      <c r="G59" s="2">
        <f>SUM(Table1[[#This Row],[ IDPs ]:[ Refugees in Sudan ]])</f>
        <v>203610</v>
      </c>
      <c r="H59" s="30">
        <v>3</v>
      </c>
      <c r="I59" s="2">
        <v>176674</v>
      </c>
      <c r="J59" s="4" t="s">
        <v>412</v>
      </c>
      <c r="K5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59" s="4"/>
      <c r="M59" s="4"/>
      <c r="N59" s="4"/>
      <c r="O59" s="4"/>
      <c r="P59" s="4">
        <f>MAX(Table1[[#This Row],['#Protection Partners]:['# MA Partners]])</f>
        <v>0</v>
      </c>
      <c r="Q59" s="35">
        <f>IF(Table1[[#This Row],[OVERALL PARTNERS]]&lt;=0,1,IF(Table1[[#This Row],[OVERALL PARTNERS]]&lt;6,0.5,IF(Table1[[#This Row],[OVERALL PARTNERS]]&lt;10,0,0)))</f>
        <v>1</v>
      </c>
      <c r="R59" s="4"/>
      <c r="S59" s="4"/>
      <c r="T59" s="4"/>
      <c r="U59" s="4"/>
      <c r="V59" s="13">
        <f>MAX(Table1[[#This Row],[People Reached Protection]:[People Reached MA]])/Table1[[#This Row],[2025 - Targets]]</f>
        <v>0</v>
      </c>
      <c r="W59" s="34">
        <f>IF(Table1[[#This Row],[OVERALL REACHED]]&gt;50%,0,IF(Table1[[#This Row],[OVERALL REACHED]]&gt;0%,1,2))</f>
        <v>2</v>
      </c>
      <c r="X59" s="37">
        <f>SUM(Table1[[#This Row],[ACCESS SCORE]],Table1[[#This Row],[PARTNER PRESENCE SCORE]],Table1[[#This Row],[''Neglected'' LOCATION SCORE (REACHED)]])</f>
        <v>7</v>
      </c>
      <c r="Y5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59" s="13" cm="1">
        <f t="array" ref="Z59">_xlfn.XLOOKUP(Table1[[#This Row],[2026 - Final Severity of Needs]]&amp;Table1[[#This Row],[Priority]],'2. Lookup'!A:A&amp;'2. Lookup'!B:B,'2. Lookup'!C:C,0)</f>
        <v>0.2</v>
      </c>
      <c r="AA59" s="49">
        <f>Table1[[#This Row],[Target Coverage]]*Table1[[#This Row],[2026 - PiN]]</f>
        <v>40722</v>
      </c>
      <c r="AB59" s="49">
        <f>IFERROR(Table1[[#This Row],[Target Coverage]]*Table1[[#This Row],[ IDPs ]],0)</f>
        <v>40722</v>
      </c>
      <c r="AC59" s="49">
        <f>IFERROR(Table1[[#This Row],[Target Coverage]]*Table1[[#This Row],[ Returnees ]],0)</f>
        <v>0</v>
      </c>
      <c r="AD59" s="49">
        <f>IFERROR(Table1[[#This Row],[Target Coverage]]*Table1[[#This Row],[ Refugees in Sudan ]],0)</f>
        <v>0</v>
      </c>
    </row>
    <row r="60" spans="1:30" x14ac:dyDescent="0.25">
      <c r="A60" s="3" t="s">
        <v>117</v>
      </c>
      <c r="B60" s="3" t="s">
        <v>126</v>
      </c>
      <c r="C60" s="3" t="s">
        <v>127</v>
      </c>
      <c r="D60" s="4">
        <v>59700</v>
      </c>
      <c r="E60" s="3" t="s">
        <v>23</v>
      </c>
      <c r="F60" s="4">
        <v>3930</v>
      </c>
      <c r="G60" s="4">
        <f>SUM(Table1[[#This Row],[ IDPs ]:[ Refugees in Sudan ]])</f>
        <v>63630</v>
      </c>
      <c r="H60" s="29">
        <v>4</v>
      </c>
      <c r="I60" s="4">
        <v>82774</v>
      </c>
      <c r="J60" s="4" t="s">
        <v>412</v>
      </c>
      <c r="K6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60" s="4"/>
      <c r="M60" s="4"/>
      <c r="N60" s="4"/>
      <c r="O60" s="4"/>
      <c r="P60" s="4">
        <f>MAX(Table1[[#This Row],['#Protection Partners]:['# MA Partners]])</f>
        <v>0</v>
      </c>
      <c r="Q60" s="35">
        <f>IF(Table1[[#This Row],[OVERALL PARTNERS]]&lt;=0,1,IF(Table1[[#This Row],[OVERALL PARTNERS]]&lt;6,0.5,IF(Table1[[#This Row],[OVERALL PARTNERS]]&lt;10,0,0)))</f>
        <v>1</v>
      </c>
      <c r="R60" s="4"/>
      <c r="S60" s="4"/>
      <c r="T60" s="4"/>
      <c r="U60" s="4"/>
      <c r="V60" s="13">
        <f>MAX(Table1[[#This Row],[People Reached Protection]:[People Reached MA]])/Table1[[#This Row],[2025 - Targets]]</f>
        <v>0</v>
      </c>
      <c r="W60" s="34">
        <f>IF(Table1[[#This Row],[OVERALL REACHED]]&gt;50%,0,IF(Table1[[#This Row],[OVERALL REACHED]]&gt;0%,1,2))</f>
        <v>2</v>
      </c>
      <c r="X60" s="37">
        <f>SUM(Table1[[#This Row],[ACCESS SCORE]],Table1[[#This Row],[PARTNER PRESENCE SCORE]],Table1[[#This Row],[''Neglected'' LOCATION SCORE (REACHED)]])</f>
        <v>7</v>
      </c>
      <c r="Y6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0" s="13" cm="1">
        <f t="array" ref="Z60">_xlfn.XLOOKUP(Table1[[#This Row],[2026 - Final Severity of Needs]]&amp;Table1[[#This Row],[Priority]],'2. Lookup'!A:A&amp;'2. Lookup'!B:B,'2. Lookup'!C:C,0)</f>
        <v>0.4</v>
      </c>
      <c r="AA60" s="49">
        <f>Table1[[#This Row],[Target Coverage]]*Table1[[#This Row],[2026 - PiN]]</f>
        <v>25452</v>
      </c>
      <c r="AB60" s="49">
        <f>IFERROR(Table1[[#This Row],[Target Coverage]]*Table1[[#This Row],[ IDPs ]],0)</f>
        <v>23880</v>
      </c>
      <c r="AC60" s="49">
        <f>IFERROR(Table1[[#This Row],[Target Coverage]]*Table1[[#This Row],[ Returnees ]],0)</f>
        <v>0</v>
      </c>
      <c r="AD60" s="49">
        <f>IFERROR(Table1[[#This Row],[Target Coverage]]*Table1[[#This Row],[ Refugees in Sudan ]],0)</f>
        <v>1572</v>
      </c>
    </row>
    <row r="61" spans="1:30" x14ac:dyDescent="0.25">
      <c r="A61" s="1" t="s">
        <v>117</v>
      </c>
      <c r="B61" s="1" t="s">
        <v>128</v>
      </c>
      <c r="C61" s="1" t="s">
        <v>129</v>
      </c>
      <c r="D61" s="2">
        <v>45603</v>
      </c>
      <c r="E61" s="1" t="s">
        <v>23</v>
      </c>
      <c r="F61" s="2">
        <v>1621</v>
      </c>
      <c r="G61" s="2">
        <f>SUM(Table1[[#This Row],[ IDPs ]:[ Refugees in Sudan ]])</f>
        <v>47224</v>
      </c>
      <c r="H61" s="30">
        <v>4</v>
      </c>
      <c r="I61" s="2">
        <v>62369</v>
      </c>
      <c r="J61" s="4" t="s">
        <v>410</v>
      </c>
      <c r="K6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61" s="4"/>
      <c r="M61" s="4"/>
      <c r="N61" s="4"/>
      <c r="O61" s="4"/>
      <c r="P61" s="4">
        <f>MAX(Table1[[#This Row],['#Protection Partners]:['# MA Partners]])</f>
        <v>0</v>
      </c>
      <c r="Q61" s="35">
        <f>IF(Table1[[#This Row],[OVERALL PARTNERS]]&lt;=0,1,IF(Table1[[#This Row],[OVERALL PARTNERS]]&lt;6,0.5,IF(Table1[[#This Row],[OVERALL PARTNERS]]&lt;10,0,0)))</f>
        <v>1</v>
      </c>
      <c r="R61" s="4"/>
      <c r="S61" s="4"/>
      <c r="T61" s="4"/>
      <c r="U61" s="4"/>
      <c r="V61" s="13">
        <f>MAX(Table1[[#This Row],[People Reached Protection]:[People Reached MA]])/Table1[[#This Row],[2025 - Targets]]</f>
        <v>0</v>
      </c>
      <c r="W61" s="34">
        <f>IF(Table1[[#This Row],[OVERALL REACHED]]&gt;50%,0,IF(Table1[[#This Row],[OVERALL REACHED]]&gt;0%,1,2))</f>
        <v>2</v>
      </c>
      <c r="X61" s="37">
        <f>SUM(Table1[[#This Row],[ACCESS SCORE]],Table1[[#This Row],[PARTNER PRESENCE SCORE]],Table1[[#This Row],[''Neglected'' LOCATION SCORE (REACHED)]])</f>
        <v>6</v>
      </c>
      <c r="Y6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1" s="13" cm="1">
        <f t="array" ref="Z61">_xlfn.XLOOKUP(Table1[[#This Row],[2026 - Final Severity of Needs]]&amp;Table1[[#This Row],[Priority]],'2. Lookup'!A:A&amp;'2. Lookup'!B:B,'2. Lookup'!C:C,0)</f>
        <v>0.4</v>
      </c>
      <c r="AA61" s="49">
        <f>Table1[[#This Row],[Target Coverage]]*Table1[[#This Row],[2026 - PiN]]</f>
        <v>18889.600000000002</v>
      </c>
      <c r="AB61" s="49">
        <f>IFERROR(Table1[[#This Row],[Target Coverage]]*Table1[[#This Row],[ IDPs ]],0)</f>
        <v>18241.2</v>
      </c>
      <c r="AC61" s="49">
        <f>IFERROR(Table1[[#This Row],[Target Coverage]]*Table1[[#This Row],[ Returnees ]],0)</f>
        <v>0</v>
      </c>
      <c r="AD61" s="49">
        <f>IFERROR(Table1[[#This Row],[Target Coverage]]*Table1[[#This Row],[ Refugees in Sudan ]],0)</f>
        <v>648.40000000000009</v>
      </c>
    </row>
    <row r="62" spans="1:30" x14ac:dyDescent="0.25">
      <c r="A62" s="3" t="s">
        <v>117</v>
      </c>
      <c r="B62" s="3" t="s">
        <v>130</v>
      </c>
      <c r="C62" s="3" t="s">
        <v>131</v>
      </c>
      <c r="D62" s="4">
        <v>67220</v>
      </c>
      <c r="E62" s="3" t="s">
        <v>23</v>
      </c>
      <c r="F62" s="4">
        <v>18058</v>
      </c>
      <c r="G62" s="4">
        <f>SUM(Table1[[#This Row],[ IDPs ]:[ Refugees in Sudan ]])</f>
        <v>85278</v>
      </c>
      <c r="H62" s="29">
        <v>4</v>
      </c>
      <c r="I62" s="4">
        <v>82119</v>
      </c>
      <c r="J62" s="4" t="s">
        <v>410</v>
      </c>
      <c r="K6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62" s="4"/>
      <c r="M62" s="4"/>
      <c r="N62" s="4"/>
      <c r="O62" s="4"/>
      <c r="P62" s="4">
        <f>MAX(Table1[[#This Row],['#Protection Partners]:['# MA Partners]])</f>
        <v>0</v>
      </c>
      <c r="Q62" s="35">
        <f>IF(Table1[[#This Row],[OVERALL PARTNERS]]&lt;=0,1,IF(Table1[[#This Row],[OVERALL PARTNERS]]&lt;6,0.5,IF(Table1[[#This Row],[OVERALL PARTNERS]]&lt;10,0,0)))</f>
        <v>1</v>
      </c>
      <c r="R62" s="4"/>
      <c r="S62" s="4"/>
      <c r="T62" s="4"/>
      <c r="U62" s="4"/>
      <c r="V62" s="13">
        <f>MAX(Table1[[#This Row],[People Reached Protection]:[People Reached MA]])/Table1[[#This Row],[2025 - Targets]]</f>
        <v>0</v>
      </c>
      <c r="W62" s="34">
        <f>IF(Table1[[#This Row],[OVERALL REACHED]]&gt;50%,0,IF(Table1[[#This Row],[OVERALL REACHED]]&gt;0%,1,2))</f>
        <v>2</v>
      </c>
      <c r="X62" s="37">
        <f>SUM(Table1[[#This Row],[ACCESS SCORE]],Table1[[#This Row],[PARTNER PRESENCE SCORE]],Table1[[#This Row],[''Neglected'' LOCATION SCORE (REACHED)]])</f>
        <v>6</v>
      </c>
      <c r="Y6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2" s="13" cm="1">
        <f t="array" ref="Z62">_xlfn.XLOOKUP(Table1[[#This Row],[2026 - Final Severity of Needs]]&amp;Table1[[#This Row],[Priority]],'2. Lookup'!A:A&amp;'2. Lookup'!B:B,'2. Lookup'!C:C,0)</f>
        <v>0.4</v>
      </c>
      <c r="AA62" s="49">
        <f>Table1[[#This Row],[Target Coverage]]*Table1[[#This Row],[2026 - PiN]]</f>
        <v>34111.200000000004</v>
      </c>
      <c r="AB62" s="49">
        <f>IFERROR(Table1[[#This Row],[Target Coverage]]*Table1[[#This Row],[ IDPs ]],0)</f>
        <v>26888</v>
      </c>
      <c r="AC62" s="49">
        <f>IFERROR(Table1[[#This Row],[Target Coverage]]*Table1[[#This Row],[ Returnees ]],0)</f>
        <v>0</v>
      </c>
      <c r="AD62" s="49">
        <f>IFERROR(Table1[[#This Row],[Target Coverage]]*Table1[[#This Row],[ Refugees in Sudan ]],0)</f>
        <v>7223.2000000000007</v>
      </c>
    </row>
    <row r="63" spans="1:30" x14ac:dyDescent="0.25">
      <c r="A63" s="1" t="s">
        <v>117</v>
      </c>
      <c r="B63" s="1" t="s">
        <v>132</v>
      </c>
      <c r="C63" s="1" t="s">
        <v>133</v>
      </c>
      <c r="D63" s="2">
        <v>27849</v>
      </c>
      <c r="E63" s="1" t="s">
        <v>23</v>
      </c>
      <c r="F63" s="2">
        <v>6246</v>
      </c>
      <c r="G63" s="2">
        <f>SUM(Table1[[#This Row],[ IDPs ]:[ Refugees in Sudan ]])</f>
        <v>34095</v>
      </c>
      <c r="H63" s="30">
        <v>4</v>
      </c>
      <c r="I63" s="2">
        <v>46075</v>
      </c>
      <c r="J63" s="4" t="s">
        <v>412</v>
      </c>
      <c r="K6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63" s="4"/>
      <c r="M63" s="4"/>
      <c r="N63" s="4"/>
      <c r="O63" s="4"/>
      <c r="P63" s="4">
        <f>MAX(Table1[[#This Row],['#Protection Partners]:['# MA Partners]])</f>
        <v>0</v>
      </c>
      <c r="Q63" s="35">
        <f>IF(Table1[[#This Row],[OVERALL PARTNERS]]&lt;=0,1,IF(Table1[[#This Row],[OVERALL PARTNERS]]&lt;6,0.5,IF(Table1[[#This Row],[OVERALL PARTNERS]]&lt;10,0,0)))</f>
        <v>1</v>
      </c>
      <c r="R63" s="4"/>
      <c r="S63" s="4"/>
      <c r="T63" s="4"/>
      <c r="U63" s="4"/>
      <c r="V63" s="13">
        <f>MAX(Table1[[#This Row],[People Reached Protection]:[People Reached MA]])/Table1[[#This Row],[2025 - Targets]]</f>
        <v>0</v>
      </c>
      <c r="W63" s="34">
        <f>IF(Table1[[#This Row],[OVERALL REACHED]]&gt;50%,0,IF(Table1[[#This Row],[OVERALL REACHED]]&gt;0%,1,2))</f>
        <v>2</v>
      </c>
      <c r="X63" s="37">
        <f>SUM(Table1[[#This Row],[ACCESS SCORE]],Table1[[#This Row],[PARTNER PRESENCE SCORE]],Table1[[#This Row],[''Neglected'' LOCATION SCORE (REACHED)]])</f>
        <v>7</v>
      </c>
      <c r="Y6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3" s="13" cm="1">
        <f t="array" ref="Z63">_xlfn.XLOOKUP(Table1[[#This Row],[2026 - Final Severity of Needs]]&amp;Table1[[#This Row],[Priority]],'2. Lookup'!A:A&amp;'2. Lookup'!B:B,'2. Lookup'!C:C,0)</f>
        <v>0.4</v>
      </c>
      <c r="AA63" s="49">
        <f>Table1[[#This Row],[Target Coverage]]*Table1[[#This Row],[2026 - PiN]]</f>
        <v>13638</v>
      </c>
      <c r="AB63" s="49">
        <f>IFERROR(Table1[[#This Row],[Target Coverage]]*Table1[[#This Row],[ IDPs ]],0)</f>
        <v>11139.6</v>
      </c>
      <c r="AC63" s="49">
        <f>IFERROR(Table1[[#This Row],[Target Coverage]]*Table1[[#This Row],[ Returnees ]],0)</f>
        <v>0</v>
      </c>
      <c r="AD63" s="49">
        <f>IFERROR(Table1[[#This Row],[Target Coverage]]*Table1[[#This Row],[ Refugees in Sudan ]],0)</f>
        <v>2498.4</v>
      </c>
    </row>
    <row r="64" spans="1:30" x14ac:dyDescent="0.25">
      <c r="A64" s="3" t="s">
        <v>117</v>
      </c>
      <c r="B64" s="3" t="s">
        <v>134</v>
      </c>
      <c r="C64" s="3" t="s">
        <v>135</v>
      </c>
      <c r="D64" s="4">
        <v>81610</v>
      </c>
      <c r="E64" s="3" t="s">
        <v>23</v>
      </c>
      <c r="F64" s="3">
        <v>842</v>
      </c>
      <c r="G64" s="4">
        <f>SUM(Table1[[#This Row],[ IDPs ]:[ Refugees in Sudan ]])</f>
        <v>82452</v>
      </c>
      <c r="H64" s="29">
        <v>4</v>
      </c>
      <c r="I64" s="4">
        <v>57492</v>
      </c>
      <c r="J64" s="4" t="s">
        <v>412</v>
      </c>
      <c r="K6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64" s="4"/>
      <c r="M64" s="4"/>
      <c r="N64" s="4"/>
      <c r="O64" s="4"/>
      <c r="P64" s="4">
        <f>MAX(Table1[[#This Row],['#Protection Partners]:['# MA Partners]])</f>
        <v>0</v>
      </c>
      <c r="Q64" s="35">
        <f>IF(Table1[[#This Row],[OVERALL PARTNERS]]&lt;=0,1,IF(Table1[[#This Row],[OVERALL PARTNERS]]&lt;6,0.5,IF(Table1[[#This Row],[OVERALL PARTNERS]]&lt;10,0,0)))</f>
        <v>1</v>
      </c>
      <c r="R64" s="4"/>
      <c r="S64" s="4"/>
      <c r="T64" s="4"/>
      <c r="U64" s="4"/>
      <c r="V64" s="13">
        <f>MAX(Table1[[#This Row],[People Reached Protection]:[People Reached MA]])/Table1[[#This Row],[2025 - Targets]]</f>
        <v>0</v>
      </c>
      <c r="W64" s="34">
        <f>IF(Table1[[#This Row],[OVERALL REACHED]]&gt;50%,0,IF(Table1[[#This Row],[OVERALL REACHED]]&gt;0%,1,2))</f>
        <v>2</v>
      </c>
      <c r="X64" s="37">
        <f>SUM(Table1[[#This Row],[ACCESS SCORE]],Table1[[#This Row],[PARTNER PRESENCE SCORE]],Table1[[#This Row],[''Neglected'' LOCATION SCORE (REACHED)]])</f>
        <v>7</v>
      </c>
      <c r="Y6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4" s="13" cm="1">
        <f t="array" ref="Z64">_xlfn.XLOOKUP(Table1[[#This Row],[2026 - Final Severity of Needs]]&amp;Table1[[#This Row],[Priority]],'2. Lookup'!A:A&amp;'2. Lookup'!B:B,'2. Lookup'!C:C,0)</f>
        <v>0.4</v>
      </c>
      <c r="AA64" s="49">
        <f>Table1[[#This Row],[Target Coverage]]*Table1[[#This Row],[2026 - PiN]]</f>
        <v>32980.800000000003</v>
      </c>
      <c r="AB64" s="49">
        <f>IFERROR(Table1[[#This Row],[Target Coverage]]*Table1[[#This Row],[ IDPs ]],0)</f>
        <v>32644</v>
      </c>
      <c r="AC64" s="49">
        <f>IFERROR(Table1[[#This Row],[Target Coverage]]*Table1[[#This Row],[ Returnees ]],0)</f>
        <v>0</v>
      </c>
      <c r="AD64" s="49">
        <f>IFERROR(Table1[[#This Row],[Target Coverage]]*Table1[[#This Row],[ Refugees in Sudan ]],0)</f>
        <v>336.8</v>
      </c>
    </row>
    <row r="65" spans="1:30" x14ac:dyDescent="0.25">
      <c r="A65" s="1" t="s">
        <v>136</v>
      </c>
      <c r="B65" s="1" t="s">
        <v>137</v>
      </c>
      <c r="C65" s="1" t="s">
        <v>138</v>
      </c>
      <c r="D65" s="2">
        <v>71240</v>
      </c>
      <c r="E65" s="1" t="s">
        <v>23</v>
      </c>
      <c r="F65" s="2">
        <v>3308</v>
      </c>
      <c r="G65" s="2">
        <f>SUM(Table1[[#This Row],[ IDPs ]:[ Refugees in Sudan ]])</f>
        <v>74548</v>
      </c>
      <c r="H65" s="30">
        <v>3</v>
      </c>
      <c r="I65" s="2">
        <v>47180</v>
      </c>
      <c r="J65" s="4" t="s">
        <v>410</v>
      </c>
      <c r="K6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65" s="4"/>
      <c r="M65" s="4"/>
      <c r="N65" s="4"/>
      <c r="O65" s="4"/>
      <c r="P65" s="4">
        <f>MAX(Table1[[#This Row],['#Protection Partners]:['# MA Partners]])</f>
        <v>0</v>
      </c>
      <c r="Q65" s="35">
        <f>IF(Table1[[#This Row],[OVERALL PARTNERS]]&lt;=0,1,IF(Table1[[#This Row],[OVERALL PARTNERS]]&lt;6,0.5,IF(Table1[[#This Row],[OVERALL PARTNERS]]&lt;10,0,0)))</f>
        <v>1</v>
      </c>
      <c r="R65" s="4"/>
      <c r="S65" s="4"/>
      <c r="T65" s="4"/>
      <c r="U65" s="4"/>
      <c r="V65" s="13">
        <f>MAX(Table1[[#This Row],[People Reached Protection]:[People Reached MA]])/Table1[[#This Row],[2025 - Targets]]</f>
        <v>0</v>
      </c>
      <c r="W65" s="34">
        <f>IF(Table1[[#This Row],[OVERALL REACHED]]&gt;50%,0,IF(Table1[[#This Row],[OVERALL REACHED]]&gt;0%,1,2))</f>
        <v>2</v>
      </c>
      <c r="X65" s="37">
        <f>SUM(Table1[[#This Row],[ACCESS SCORE]],Table1[[#This Row],[PARTNER PRESENCE SCORE]],Table1[[#This Row],[''Neglected'' LOCATION SCORE (REACHED)]])</f>
        <v>6</v>
      </c>
      <c r="Y6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5" s="13" cm="1">
        <f t="array" ref="Z65">_xlfn.XLOOKUP(Table1[[#This Row],[2026 - Final Severity of Needs]]&amp;Table1[[#This Row],[Priority]],'2. Lookup'!A:A&amp;'2. Lookup'!B:B,'2. Lookup'!C:C,0)</f>
        <v>0.2</v>
      </c>
      <c r="AA65" s="49">
        <f>Table1[[#This Row],[Target Coverage]]*Table1[[#This Row],[2026 - PiN]]</f>
        <v>14909.6</v>
      </c>
      <c r="AB65" s="49">
        <f>IFERROR(Table1[[#This Row],[Target Coverage]]*Table1[[#This Row],[ IDPs ]],0)</f>
        <v>14248</v>
      </c>
      <c r="AC65" s="49">
        <f>IFERROR(Table1[[#This Row],[Target Coverage]]*Table1[[#This Row],[ Returnees ]],0)</f>
        <v>0</v>
      </c>
      <c r="AD65" s="49">
        <f>IFERROR(Table1[[#This Row],[Target Coverage]]*Table1[[#This Row],[ Refugees in Sudan ]],0)</f>
        <v>661.6</v>
      </c>
    </row>
    <row r="66" spans="1:30" x14ac:dyDescent="0.25">
      <c r="A66" s="3" t="s">
        <v>136</v>
      </c>
      <c r="B66" s="3" t="s">
        <v>139</v>
      </c>
      <c r="C66" s="3" t="s">
        <v>140</v>
      </c>
      <c r="D66" s="4">
        <v>32320</v>
      </c>
      <c r="E66" s="3" t="s">
        <v>23</v>
      </c>
      <c r="F66" s="3" t="s">
        <v>24</v>
      </c>
      <c r="G66" s="4">
        <f>SUM(Table1[[#This Row],[ IDPs ]:[ Refugees in Sudan ]])</f>
        <v>32320</v>
      </c>
      <c r="H66" s="29">
        <v>4</v>
      </c>
      <c r="I66" s="4">
        <v>32250</v>
      </c>
      <c r="J66" s="4" t="s">
        <v>411</v>
      </c>
      <c r="K6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66" s="4"/>
      <c r="M66" s="4"/>
      <c r="N66" s="4"/>
      <c r="O66" s="4"/>
      <c r="P66" s="4">
        <f>MAX(Table1[[#This Row],['#Protection Partners]:['# MA Partners]])</f>
        <v>0</v>
      </c>
      <c r="Q66" s="35">
        <f>IF(Table1[[#This Row],[OVERALL PARTNERS]]&lt;=0,1,IF(Table1[[#This Row],[OVERALL PARTNERS]]&lt;6,0.5,IF(Table1[[#This Row],[OVERALL PARTNERS]]&lt;10,0,0)))</f>
        <v>1</v>
      </c>
      <c r="R66" s="4"/>
      <c r="S66" s="4"/>
      <c r="T66" s="4"/>
      <c r="U66" s="4"/>
      <c r="V66" s="13">
        <f>MAX(Table1[[#This Row],[People Reached Protection]:[People Reached MA]])/Table1[[#This Row],[2025 - Targets]]</f>
        <v>0</v>
      </c>
      <c r="W66" s="34">
        <f>IF(Table1[[#This Row],[OVERALL REACHED]]&gt;50%,0,IF(Table1[[#This Row],[OVERALL REACHED]]&gt;0%,1,2))</f>
        <v>2</v>
      </c>
      <c r="X66" s="37">
        <f>SUM(Table1[[#This Row],[ACCESS SCORE]],Table1[[#This Row],[PARTNER PRESENCE SCORE]],Table1[[#This Row],[''Neglected'' LOCATION SCORE (REACHED)]])</f>
        <v>5</v>
      </c>
      <c r="Y6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66" s="13" cm="1">
        <f t="array" ref="Z66">_xlfn.XLOOKUP(Table1[[#This Row],[2026 - Final Severity of Needs]]&amp;Table1[[#This Row],[Priority]],'2. Lookup'!A:A&amp;'2. Lookup'!B:B,'2. Lookup'!C:C,0)</f>
        <v>0.2</v>
      </c>
      <c r="AA66" s="49">
        <f>Table1[[#This Row],[Target Coverage]]*Table1[[#This Row],[2026 - PiN]]</f>
        <v>6464</v>
      </c>
      <c r="AB66" s="49">
        <f>IFERROR(Table1[[#This Row],[Target Coverage]]*Table1[[#This Row],[ IDPs ]],0)</f>
        <v>6464</v>
      </c>
      <c r="AC66" s="49">
        <f>IFERROR(Table1[[#This Row],[Target Coverage]]*Table1[[#This Row],[ Returnees ]],0)</f>
        <v>0</v>
      </c>
      <c r="AD66" s="49">
        <f>IFERROR(Table1[[#This Row],[Target Coverage]]*Table1[[#This Row],[ Refugees in Sudan ]],0)</f>
        <v>0</v>
      </c>
    </row>
    <row r="67" spans="1:30" x14ac:dyDescent="0.25">
      <c r="A67" s="1" t="s">
        <v>136</v>
      </c>
      <c r="B67" s="1" t="s">
        <v>141</v>
      </c>
      <c r="C67" s="1" t="s">
        <v>142</v>
      </c>
      <c r="D67" s="2">
        <v>28960</v>
      </c>
      <c r="E67" s="1" t="s">
        <v>23</v>
      </c>
      <c r="F67" s="1">
        <v>6</v>
      </c>
      <c r="G67" s="2">
        <f>SUM(Table1[[#This Row],[ IDPs ]:[ Refugees in Sudan ]])</f>
        <v>28966</v>
      </c>
      <c r="H67" s="30">
        <v>3</v>
      </c>
      <c r="I67" s="2">
        <v>25701</v>
      </c>
      <c r="J67" s="4" t="s">
        <v>411</v>
      </c>
      <c r="K6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67" s="4"/>
      <c r="M67" s="4"/>
      <c r="N67" s="4"/>
      <c r="O67" s="4"/>
      <c r="P67" s="4">
        <f>MAX(Table1[[#This Row],['#Protection Partners]:['# MA Partners]])</f>
        <v>0</v>
      </c>
      <c r="Q67" s="35">
        <f>IF(Table1[[#This Row],[OVERALL PARTNERS]]&lt;=0,1,IF(Table1[[#This Row],[OVERALL PARTNERS]]&lt;6,0.5,IF(Table1[[#This Row],[OVERALL PARTNERS]]&lt;10,0,0)))</f>
        <v>1</v>
      </c>
      <c r="R67" s="4"/>
      <c r="S67" s="4"/>
      <c r="T67" s="4"/>
      <c r="U67" s="4"/>
      <c r="V67" s="13">
        <f>MAX(Table1[[#This Row],[People Reached Protection]:[People Reached MA]])/Table1[[#This Row],[2025 - Targets]]</f>
        <v>0</v>
      </c>
      <c r="W67" s="34">
        <f>IF(Table1[[#This Row],[OVERALL REACHED]]&gt;50%,0,IF(Table1[[#This Row],[OVERALL REACHED]]&gt;0%,1,2))</f>
        <v>2</v>
      </c>
      <c r="X67" s="37">
        <f>SUM(Table1[[#This Row],[ACCESS SCORE]],Table1[[#This Row],[PARTNER PRESENCE SCORE]],Table1[[#This Row],[''Neglected'' LOCATION SCORE (REACHED)]])</f>
        <v>5</v>
      </c>
      <c r="Y6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67" s="13" cm="1">
        <f t="array" ref="Z67">_xlfn.XLOOKUP(Table1[[#This Row],[2026 - Final Severity of Needs]]&amp;Table1[[#This Row],[Priority]],'2. Lookup'!A:A&amp;'2. Lookup'!B:B,'2. Lookup'!C:C,0)</f>
        <v>0.1</v>
      </c>
      <c r="AA67" s="49">
        <f>Table1[[#This Row],[Target Coverage]]*Table1[[#This Row],[2026 - PiN]]</f>
        <v>2896.6000000000004</v>
      </c>
      <c r="AB67" s="49">
        <f>IFERROR(Table1[[#This Row],[Target Coverage]]*Table1[[#This Row],[ IDPs ]],0)</f>
        <v>2896</v>
      </c>
      <c r="AC67" s="49">
        <f>IFERROR(Table1[[#This Row],[Target Coverage]]*Table1[[#This Row],[ Returnees ]],0)</f>
        <v>0</v>
      </c>
      <c r="AD67" s="49">
        <f>IFERROR(Table1[[#This Row],[Target Coverage]]*Table1[[#This Row],[ Refugees in Sudan ]],0)</f>
        <v>0.60000000000000009</v>
      </c>
    </row>
    <row r="68" spans="1:30" x14ac:dyDescent="0.25">
      <c r="A68" s="3" t="s">
        <v>136</v>
      </c>
      <c r="B68" s="3" t="s">
        <v>143</v>
      </c>
      <c r="C68" s="3" t="s">
        <v>144</v>
      </c>
      <c r="D68" s="4">
        <v>87478</v>
      </c>
      <c r="E68" s="3" t="s">
        <v>23</v>
      </c>
      <c r="F68" s="3" t="s">
        <v>24</v>
      </c>
      <c r="G68" s="4">
        <f>SUM(Table1[[#This Row],[ IDPs ]:[ Refugees in Sudan ]])</f>
        <v>87478</v>
      </c>
      <c r="H68" s="29">
        <v>4</v>
      </c>
      <c r="I68" s="4">
        <v>69114</v>
      </c>
      <c r="J68" s="4" t="s">
        <v>411</v>
      </c>
      <c r="K6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68" s="4"/>
      <c r="M68" s="4"/>
      <c r="N68" s="4"/>
      <c r="O68" s="4"/>
      <c r="P68" s="4">
        <f>MAX(Table1[[#This Row],['#Protection Partners]:['# MA Partners]])</f>
        <v>0</v>
      </c>
      <c r="Q68" s="35">
        <f>IF(Table1[[#This Row],[OVERALL PARTNERS]]&lt;=0,1,IF(Table1[[#This Row],[OVERALL PARTNERS]]&lt;6,0.5,IF(Table1[[#This Row],[OVERALL PARTNERS]]&lt;10,0,0)))</f>
        <v>1</v>
      </c>
      <c r="R68" s="4"/>
      <c r="S68" s="4"/>
      <c r="T68" s="4"/>
      <c r="U68" s="4"/>
      <c r="V68" s="13">
        <f>MAX(Table1[[#This Row],[People Reached Protection]:[People Reached MA]])/Table1[[#This Row],[2025 - Targets]]</f>
        <v>0</v>
      </c>
      <c r="W68" s="34">
        <f>IF(Table1[[#This Row],[OVERALL REACHED]]&gt;50%,0,IF(Table1[[#This Row],[OVERALL REACHED]]&gt;0%,1,2))</f>
        <v>2</v>
      </c>
      <c r="X68" s="37">
        <f>SUM(Table1[[#This Row],[ACCESS SCORE]],Table1[[#This Row],[PARTNER PRESENCE SCORE]],Table1[[#This Row],[''Neglected'' LOCATION SCORE (REACHED)]])</f>
        <v>5</v>
      </c>
      <c r="Y6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68" s="13" cm="1">
        <f t="array" ref="Z68">_xlfn.XLOOKUP(Table1[[#This Row],[2026 - Final Severity of Needs]]&amp;Table1[[#This Row],[Priority]],'2. Lookup'!A:A&amp;'2. Lookup'!B:B,'2. Lookup'!C:C,0)</f>
        <v>0.2</v>
      </c>
      <c r="AA68" s="49">
        <f>Table1[[#This Row],[Target Coverage]]*Table1[[#This Row],[2026 - PiN]]</f>
        <v>17495.600000000002</v>
      </c>
      <c r="AB68" s="49">
        <f>IFERROR(Table1[[#This Row],[Target Coverage]]*Table1[[#This Row],[ IDPs ]],0)</f>
        <v>17495.600000000002</v>
      </c>
      <c r="AC68" s="49">
        <f>IFERROR(Table1[[#This Row],[Target Coverage]]*Table1[[#This Row],[ Returnees ]],0)</f>
        <v>0</v>
      </c>
      <c r="AD68" s="49">
        <f>IFERROR(Table1[[#This Row],[Target Coverage]]*Table1[[#This Row],[ Refugees in Sudan ]],0)</f>
        <v>0</v>
      </c>
    </row>
    <row r="69" spans="1:30" x14ac:dyDescent="0.25">
      <c r="A69" s="1" t="s">
        <v>136</v>
      </c>
      <c r="B69" s="1" t="s">
        <v>145</v>
      </c>
      <c r="C69" s="1" t="s">
        <v>146</v>
      </c>
      <c r="D69" s="2">
        <v>168242</v>
      </c>
      <c r="E69" s="1" t="s">
        <v>23</v>
      </c>
      <c r="F69" s="1" t="s">
        <v>24</v>
      </c>
      <c r="G69" s="2">
        <f>SUM(Table1[[#This Row],[ IDPs ]:[ Refugees in Sudan ]])</f>
        <v>168242</v>
      </c>
      <c r="H69" s="30">
        <v>3</v>
      </c>
      <c r="I69" s="2">
        <v>91950</v>
      </c>
      <c r="J69" s="4" t="s">
        <v>410</v>
      </c>
      <c r="K6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69" s="4"/>
      <c r="M69" s="4"/>
      <c r="N69" s="4"/>
      <c r="O69" s="4"/>
      <c r="P69" s="4">
        <f>MAX(Table1[[#This Row],['#Protection Partners]:['# MA Partners]])</f>
        <v>0</v>
      </c>
      <c r="Q69" s="35">
        <f>IF(Table1[[#This Row],[OVERALL PARTNERS]]&lt;=0,1,IF(Table1[[#This Row],[OVERALL PARTNERS]]&lt;6,0.5,IF(Table1[[#This Row],[OVERALL PARTNERS]]&lt;10,0,0)))</f>
        <v>1</v>
      </c>
      <c r="R69" s="4"/>
      <c r="S69" s="4"/>
      <c r="T69" s="4"/>
      <c r="U69" s="4"/>
      <c r="V69" s="13">
        <f>MAX(Table1[[#This Row],[People Reached Protection]:[People Reached MA]])/Table1[[#This Row],[2025 - Targets]]</f>
        <v>0</v>
      </c>
      <c r="W69" s="34">
        <f>IF(Table1[[#This Row],[OVERALL REACHED]]&gt;50%,0,IF(Table1[[#This Row],[OVERALL REACHED]]&gt;0%,1,2))</f>
        <v>2</v>
      </c>
      <c r="X69" s="37">
        <f>SUM(Table1[[#This Row],[ACCESS SCORE]],Table1[[#This Row],[PARTNER PRESENCE SCORE]],Table1[[#This Row],[''Neglected'' LOCATION SCORE (REACHED)]])</f>
        <v>6</v>
      </c>
      <c r="Y6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69" s="13" cm="1">
        <f t="array" ref="Z69">_xlfn.XLOOKUP(Table1[[#This Row],[2026 - Final Severity of Needs]]&amp;Table1[[#This Row],[Priority]],'2. Lookup'!A:A&amp;'2. Lookup'!B:B,'2. Lookup'!C:C,0)</f>
        <v>0.2</v>
      </c>
      <c r="AA69" s="49">
        <f>Table1[[#This Row],[Target Coverage]]*Table1[[#This Row],[2026 - PiN]]</f>
        <v>33648.400000000001</v>
      </c>
      <c r="AB69" s="49">
        <f>IFERROR(Table1[[#This Row],[Target Coverage]]*Table1[[#This Row],[ IDPs ]],0)</f>
        <v>33648.400000000001</v>
      </c>
      <c r="AC69" s="49">
        <f>IFERROR(Table1[[#This Row],[Target Coverage]]*Table1[[#This Row],[ Returnees ]],0)</f>
        <v>0</v>
      </c>
      <c r="AD69" s="49">
        <f>IFERROR(Table1[[#This Row],[Target Coverage]]*Table1[[#This Row],[ Refugees in Sudan ]],0)</f>
        <v>0</v>
      </c>
    </row>
    <row r="70" spans="1:30" x14ac:dyDescent="0.25">
      <c r="A70" s="3" t="s">
        <v>136</v>
      </c>
      <c r="B70" s="3" t="s">
        <v>147</v>
      </c>
      <c r="C70" s="3" t="s">
        <v>148</v>
      </c>
      <c r="D70" s="4">
        <v>68425</v>
      </c>
      <c r="E70" s="3" t="s">
        <v>23</v>
      </c>
      <c r="F70" s="3" t="s">
        <v>24</v>
      </c>
      <c r="G70" s="4">
        <f>SUM(Table1[[#This Row],[ IDPs ]:[ Refugees in Sudan ]])</f>
        <v>68425</v>
      </c>
      <c r="H70" s="29">
        <v>4</v>
      </c>
      <c r="I70" s="4">
        <v>56635</v>
      </c>
      <c r="J70" s="4" t="s">
        <v>412</v>
      </c>
      <c r="K7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70" s="4"/>
      <c r="M70" s="4"/>
      <c r="N70" s="4"/>
      <c r="O70" s="4"/>
      <c r="P70" s="4">
        <f>MAX(Table1[[#This Row],['#Protection Partners]:['# MA Partners]])</f>
        <v>0</v>
      </c>
      <c r="Q70" s="35">
        <f>IF(Table1[[#This Row],[OVERALL PARTNERS]]&lt;=0,1,IF(Table1[[#This Row],[OVERALL PARTNERS]]&lt;6,0.5,IF(Table1[[#This Row],[OVERALL PARTNERS]]&lt;10,0,0)))</f>
        <v>1</v>
      </c>
      <c r="R70" s="4"/>
      <c r="S70" s="4"/>
      <c r="T70" s="4"/>
      <c r="U70" s="4"/>
      <c r="V70" s="13">
        <f>MAX(Table1[[#This Row],[People Reached Protection]:[People Reached MA]])/Table1[[#This Row],[2025 - Targets]]</f>
        <v>0</v>
      </c>
      <c r="W70" s="34">
        <f>IF(Table1[[#This Row],[OVERALL REACHED]]&gt;50%,0,IF(Table1[[#This Row],[OVERALL REACHED]]&gt;0%,1,2))</f>
        <v>2</v>
      </c>
      <c r="X70" s="37">
        <f>SUM(Table1[[#This Row],[ACCESS SCORE]],Table1[[#This Row],[PARTNER PRESENCE SCORE]],Table1[[#This Row],[''Neglected'' LOCATION SCORE (REACHED)]])</f>
        <v>7</v>
      </c>
      <c r="Y7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70" s="13" cm="1">
        <f t="array" ref="Z70">_xlfn.XLOOKUP(Table1[[#This Row],[2026 - Final Severity of Needs]]&amp;Table1[[#This Row],[Priority]],'2. Lookup'!A:A&amp;'2. Lookup'!B:B,'2. Lookup'!C:C,0)</f>
        <v>0.4</v>
      </c>
      <c r="AA70" s="49">
        <f>Table1[[#This Row],[Target Coverage]]*Table1[[#This Row],[2026 - PiN]]</f>
        <v>27370</v>
      </c>
      <c r="AB70" s="49">
        <f>IFERROR(Table1[[#This Row],[Target Coverage]]*Table1[[#This Row],[ IDPs ]],0)</f>
        <v>27370</v>
      </c>
      <c r="AC70" s="49">
        <f>IFERROR(Table1[[#This Row],[Target Coverage]]*Table1[[#This Row],[ Returnees ]],0)</f>
        <v>0</v>
      </c>
      <c r="AD70" s="49">
        <f>IFERROR(Table1[[#This Row],[Target Coverage]]*Table1[[#This Row],[ Refugees in Sudan ]],0)</f>
        <v>0</v>
      </c>
    </row>
    <row r="71" spans="1:30" x14ac:dyDescent="0.25">
      <c r="A71" s="1" t="s">
        <v>136</v>
      </c>
      <c r="B71" s="1" t="s">
        <v>149</v>
      </c>
      <c r="C71" s="1" t="s">
        <v>150</v>
      </c>
      <c r="D71" s="2">
        <v>86332</v>
      </c>
      <c r="E71" s="1" t="s">
        <v>23</v>
      </c>
      <c r="F71" s="1" t="s">
        <v>24</v>
      </c>
      <c r="G71" s="2">
        <f>SUM(Table1[[#This Row],[ IDPs ]:[ Refugees in Sudan ]])</f>
        <v>86332</v>
      </c>
      <c r="H71" s="30">
        <v>4</v>
      </c>
      <c r="I71" s="2">
        <v>60195</v>
      </c>
      <c r="J71" s="4" t="s">
        <v>412</v>
      </c>
      <c r="K7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71" s="4"/>
      <c r="M71" s="4"/>
      <c r="N71" s="4"/>
      <c r="O71" s="4"/>
      <c r="P71" s="4">
        <f>MAX(Table1[[#This Row],['#Protection Partners]:['# MA Partners]])</f>
        <v>0</v>
      </c>
      <c r="Q71" s="35">
        <f>IF(Table1[[#This Row],[OVERALL PARTNERS]]&lt;=0,1,IF(Table1[[#This Row],[OVERALL PARTNERS]]&lt;6,0.5,IF(Table1[[#This Row],[OVERALL PARTNERS]]&lt;10,0,0)))</f>
        <v>1</v>
      </c>
      <c r="R71" s="4"/>
      <c r="S71" s="4"/>
      <c r="T71" s="4"/>
      <c r="U71" s="4"/>
      <c r="V71" s="13">
        <f>MAX(Table1[[#This Row],[People Reached Protection]:[People Reached MA]])/Table1[[#This Row],[2025 - Targets]]</f>
        <v>0</v>
      </c>
      <c r="W71" s="34">
        <f>IF(Table1[[#This Row],[OVERALL REACHED]]&gt;50%,0,IF(Table1[[#This Row],[OVERALL REACHED]]&gt;0%,1,2))</f>
        <v>2</v>
      </c>
      <c r="X71" s="37">
        <f>SUM(Table1[[#This Row],[ACCESS SCORE]],Table1[[#This Row],[PARTNER PRESENCE SCORE]],Table1[[#This Row],[''Neglected'' LOCATION SCORE (REACHED)]])</f>
        <v>7</v>
      </c>
      <c r="Y7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71" s="13" cm="1">
        <f t="array" ref="Z71">_xlfn.XLOOKUP(Table1[[#This Row],[2026 - Final Severity of Needs]]&amp;Table1[[#This Row],[Priority]],'2. Lookup'!A:A&amp;'2. Lookup'!B:B,'2. Lookup'!C:C,0)</f>
        <v>0.4</v>
      </c>
      <c r="AA71" s="49">
        <f>Table1[[#This Row],[Target Coverage]]*Table1[[#This Row],[2026 - PiN]]</f>
        <v>34532.800000000003</v>
      </c>
      <c r="AB71" s="49">
        <f>IFERROR(Table1[[#This Row],[Target Coverage]]*Table1[[#This Row],[ IDPs ]],0)</f>
        <v>34532.800000000003</v>
      </c>
      <c r="AC71" s="49">
        <f>IFERROR(Table1[[#This Row],[Target Coverage]]*Table1[[#This Row],[ Returnees ]],0)</f>
        <v>0</v>
      </c>
      <c r="AD71" s="49">
        <f>IFERROR(Table1[[#This Row],[Target Coverage]]*Table1[[#This Row],[ Refugees in Sudan ]],0)</f>
        <v>0</v>
      </c>
    </row>
    <row r="72" spans="1:30" x14ac:dyDescent="0.25">
      <c r="A72" s="3" t="s">
        <v>136</v>
      </c>
      <c r="B72" s="3" t="s">
        <v>151</v>
      </c>
      <c r="C72" s="3" t="s">
        <v>152</v>
      </c>
      <c r="D72" s="4">
        <v>219137</v>
      </c>
      <c r="E72" s="3" t="s">
        <v>23</v>
      </c>
      <c r="F72" s="3">
        <v>533</v>
      </c>
      <c r="G72" s="4">
        <f>SUM(Table1[[#This Row],[ IDPs ]:[ Refugees in Sudan ]])</f>
        <v>219670</v>
      </c>
      <c r="H72" s="29">
        <v>4</v>
      </c>
      <c r="I72" s="4">
        <v>151682</v>
      </c>
      <c r="J72" s="4" t="s">
        <v>410</v>
      </c>
      <c r="K7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72" s="4"/>
      <c r="M72" s="4"/>
      <c r="N72" s="4"/>
      <c r="O72" s="4"/>
      <c r="P72" s="4">
        <f>MAX(Table1[[#This Row],['#Protection Partners]:['# MA Partners]])</f>
        <v>0</v>
      </c>
      <c r="Q72" s="35">
        <f>IF(Table1[[#This Row],[OVERALL PARTNERS]]&lt;=0,1,IF(Table1[[#This Row],[OVERALL PARTNERS]]&lt;6,0.5,IF(Table1[[#This Row],[OVERALL PARTNERS]]&lt;10,0,0)))</f>
        <v>1</v>
      </c>
      <c r="R72" s="4"/>
      <c r="S72" s="4"/>
      <c r="T72" s="4"/>
      <c r="U72" s="4"/>
      <c r="V72" s="13">
        <f>MAX(Table1[[#This Row],[People Reached Protection]:[People Reached MA]])/Table1[[#This Row],[2025 - Targets]]</f>
        <v>0</v>
      </c>
      <c r="W72" s="34">
        <f>IF(Table1[[#This Row],[OVERALL REACHED]]&gt;50%,0,IF(Table1[[#This Row],[OVERALL REACHED]]&gt;0%,1,2))</f>
        <v>2</v>
      </c>
      <c r="X72" s="37">
        <f>SUM(Table1[[#This Row],[ACCESS SCORE]],Table1[[#This Row],[PARTNER PRESENCE SCORE]],Table1[[#This Row],[''Neglected'' LOCATION SCORE (REACHED)]])</f>
        <v>6</v>
      </c>
      <c r="Y7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72" s="13" cm="1">
        <f t="array" ref="Z72">_xlfn.XLOOKUP(Table1[[#This Row],[2026 - Final Severity of Needs]]&amp;Table1[[#This Row],[Priority]],'2. Lookup'!A:A&amp;'2. Lookup'!B:B,'2. Lookup'!C:C,0)</f>
        <v>0.4</v>
      </c>
      <c r="AA72" s="49">
        <f>Table1[[#This Row],[Target Coverage]]*Table1[[#This Row],[2026 - PiN]]</f>
        <v>87868</v>
      </c>
      <c r="AB72" s="49">
        <f>IFERROR(Table1[[#This Row],[Target Coverage]]*Table1[[#This Row],[ IDPs ]],0)</f>
        <v>87654.8</v>
      </c>
      <c r="AC72" s="49">
        <f>IFERROR(Table1[[#This Row],[Target Coverage]]*Table1[[#This Row],[ Returnees ]],0)</f>
        <v>0</v>
      </c>
      <c r="AD72" s="49">
        <f>IFERROR(Table1[[#This Row],[Target Coverage]]*Table1[[#This Row],[ Refugees in Sudan ]],0)</f>
        <v>213.20000000000002</v>
      </c>
    </row>
    <row r="73" spans="1:30" x14ac:dyDescent="0.25">
      <c r="A73" s="1" t="s">
        <v>136</v>
      </c>
      <c r="B73" s="1" t="s">
        <v>153</v>
      </c>
      <c r="C73" s="1" t="s">
        <v>154</v>
      </c>
      <c r="D73" s="2">
        <v>213623</v>
      </c>
      <c r="E73" s="1" t="s">
        <v>23</v>
      </c>
      <c r="F73" s="1" t="s">
        <v>24</v>
      </c>
      <c r="G73" s="2">
        <f>SUM(Table1[[#This Row],[ IDPs ]:[ Refugees in Sudan ]])</f>
        <v>213623</v>
      </c>
      <c r="H73" s="30">
        <v>4</v>
      </c>
      <c r="I73" s="2">
        <v>118447</v>
      </c>
      <c r="J73" s="4" t="s">
        <v>410</v>
      </c>
      <c r="K7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73" s="4"/>
      <c r="M73" s="4"/>
      <c r="N73" s="4"/>
      <c r="O73" s="4"/>
      <c r="P73" s="4">
        <f>MAX(Table1[[#This Row],['#Protection Partners]:['# MA Partners]])</f>
        <v>0</v>
      </c>
      <c r="Q73" s="35">
        <f>IF(Table1[[#This Row],[OVERALL PARTNERS]]&lt;=0,1,IF(Table1[[#This Row],[OVERALL PARTNERS]]&lt;6,0.5,IF(Table1[[#This Row],[OVERALL PARTNERS]]&lt;10,0,0)))</f>
        <v>1</v>
      </c>
      <c r="R73" s="4"/>
      <c r="S73" s="4"/>
      <c r="T73" s="4"/>
      <c r="U73" s="4"/>
      <c r="V73" s="13">
        <f>MAX(Table1[[#This Row],[People Reached Protection]:[People Reached MA]])/Table1[[#This Row],[2025 - Targets]]</f>
        <v>0</v>
      </c>
      <c r="W73" s="34">
        <f>IF(Table1[[#This Row],[OVERALL REACHED]]&gt;50%,0,IF(Table1[[#This Row],[OVERALL REACHED]]&gt;0%,1,2))</f>
        <v>2</v>
      </c>
      <c r="X73" s="37">
        <f>SUM(Table1[[#This Row],[ACCESS SCORE]],Table1[[#This Row],[PARTNER PRESENCE SCORE]],Table1[[#This Row],[''Neglected'' LOCATION SCORE (REACHED)]])</f>
        <v>6</v>
      </c>
      <c r="Y7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73" s="13" cm="1">
        <f t="array" ref="Z73">_xlfn.XLOOKUP(Table1[[#This Row],[2026 - Final Severity of Needs]]&amp;Table1[[#This Row],[Priority]],'2. Lookup'!A:A&amp;'2. Lookup'!B:B,'2. Lookup'!C:C,0)</f>
        <v>0.4</v>
      </c>
      <c r="AA73" s="49">
        <f>Table1[[#This Row],[Target Coverage]]*Table1[[#This Row],[2026 - PiN]]</f>
        <v>85449.200000000012</v>
      </c>
      <c r="AB73" s="49">
        <f>IFERROR(Table1[[#This Row],[Target Coverage]]*Table1[[#This Row],[ IDPs ]],0)</f>
        <v>85449.200000000012</v>
      </c>
      <c r="AC73" s="49">
        <f>IFERROR(Table1[[#This Row],[Target Coverage]]*Table1[[#This Row],[ Returnees ]],0)</f>
        <v>0</v>
      </c>
      <c r="AD73" s="49">
        <f>IFERROR(Table1[[#This Row],[Target Coverage]]*Table1[[#This Row],[ Refugees in Sudan ]],0)</f>
        <v>0</v>
      </c>
    </row>
    <row r="74" spans="1:30" x14ac:dyDescent="0.25">
      <c r="A74" s="3" t="s">
        <v>155</v>
      </c>
      <c r="B74" s="3" t="s">
        <v>156</v>
      </c>
      <c r="C74" s="3" t="s">
        <v>157</v>
      </c>
      <c r="D74" s="4">
        <v>53048</v>
      </c>
      <c r="E74" s="3" t="s">
        <v>23</v>
      </c>
      <c r="F74" s="4">
        <v>9840</v>
      </c>
      <c r="G74" s="4">
        <f>SUM(Table1[[#This Row],[ IDPs ]:[ Refugees in Sudan ]])</f>
        <v>62888</v>
      </c>
      <c r="H74" s="29">
        <v>4</v>
      </c>
      <c r="I74" s="4">
        <v>67589</v>
      </c>
      <c r="J74" s="4" t="s">
        <v>411</v>
      </c>
      <c r="K7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74" s="4"/>
      <c r="M74" s="4"/>
      <c r="N74" s="4"/>
      <c r="O74" s="4"/>
      <c r="P74" s="4">
        <f>MAX(Table1[[#This Row],['#Protection Partners]:['# MA Partners]])</f>
        <v>0</v>
      </c>
      <c r="Q74" s="35">
        <f>IF(Table1[[#This Row],[OVERALL PARTNERS]]&lt;=0,1,IF(Table1[[#This Row],[OVERALL PARTNERS]]&lt;6,0.5,IF(Table1[[#This Row],[OVERALL PARTNERS]]&lt;10,0,0)))</f>
        <v>1</v>
      </c>
      <c r="R74" s="4"/>
      <c r="S74" s="4"/>
      <c r="T74" s="4"/>
      <c r="U74" s="4"/>
      <c r="V74" s="13">
        <f>MAX(Table1[[#This Row],[People Reached Protection]:[People Reached MA]])/Table1[[#This Row],[2025 - Targets]]</f>
        <v>0</v>
      </c>
      <c r="W74" s="34">
        <f>IF(Table1[[#This Row],[OVERALL REACHED]]&gt;50%,0,IF(Table1[[#This Row],[OVERALL REACHED]]&gt;0%,1,2))</f>
        <v>2</v>
      </c>
      <c r="X74" s="37">
        <f>SUM(Table1[[#This Row],[ACCESS SCORE]],Table1[[#This Row],[PARTNER PRESENCE SCORE]],Table1[[#This Row],[''Neglected'' LOCATION SCORE (REACHED)]])</f>
        <v>5</v>
      </c>
      <c r="Y7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74" s="13" cm="1">
        <f t="array" ref="Z74">_xlfn.XLOOKUP(Table1[[#This Row],[2026 - Final Severity of Needs]]&amp;Table1[[#This Row],[Priority]],'2. Lookup'!A:A&amp;'2. Lookup'!B:B,'2. Lookup'!C:C,0)</f>
        <v>0.2</v>
      </c>
      <c r="AA74" s="49">
        <f>Table1[[#This Row],[Target Coverage]]*Table1[[#This Row],[2026 - PiN]]</f>
        <v>12577.6</v>
      </c>
      <c r="AB74" s="49">
        <f>IFERROR(Table1[[#This Row],[Target Coverage]]*Table1[[#This Row],[ IDPs ]],0)</f>
        <v>10609.6</v>
      </c>
      <c r="AC74" s="49">
        <f>IFERROR(Table1[[#This Row],[Target Coverage]]*Table1[[#This Row],[ Returnees ]],0)</f>
        <v>0</v>
      </c>
      <c r="AD74" s="49">
        <f>IFERROR(Table1[[#This Row],[Target Coverage]]*Table1[[#This Row],[ Refugees in Sudan ]],0)</f>
        <v>1968</v>
      </c>
    </row>
    <row r="75" spans="1:30" x14ac:dyDescent="0.25">
      <c r="A75" s="1" t="s">
        <v>155</v>
      </c>
      <c r="B75" s="1" t="s">
        <v>158</v>
      </c>
      <c r="C75" s="1" t="s">
        <v>159</v>
      </c>
      <c r="D75" s="2">
        <v>10979</v>
      </c>
      <c r="E75" s="1" t="s">
        <v>23</v>
      </c>
      <c r="F75" s="1" t="s">
        <v>24</v>
      </c>
      <c r="G75" s="2">
        <f>SUM(Table1[[#This Row],[ IDPs ]:[ Refugees in Sudan ]])</f>
        <v>10979</v>
      </c>
      <c r="H75" s="30">
        <v>3</v>
      </c>
      <c r="I75" s="2">
        <v>7285</v>
      </c>
      <c r="J75" s="4" t="s">
        <v>411</v>
      </c>
      <c r="K7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75" s="4"/>
      <c r="M75" s="4"/>
      <c r="N75" s="4"/>
      <c r="O75" s="4"/>
      <c r="P75" s="4">
        <f>MAX(Table1[[#This Row],['#Protection Partners]:['# MA Partners]])</f>
        <v>0</v>
      </c>
      <c r="Q75" s="35">
        <f>IF(Table1[[#This Row],[OVERALL PARTNERS]]&lt;=0,1,IF(Table1[[#This Row],[OVERALL PARTNERS]]&lt;6,0.5,IF(Table1[[#This Row],[OVERALL PARTNERS]]&lt;10,0,0)))</f>
        <v>1</v>
      </c>
      <c r="R75" s="4"/>
      <c r="S75" s="4"/>
      <c r="T75" s="4"/>
      <c r="U75" s="4"/>
      <c r="V75" s="13">
        <f>MAX(Table1[[#This Row],[People Reached Protection]:[People Reached MA]])/Table1[[#This Row],[2025 - Targets]]</f>
        <v>0</v>
      </c>
      <c r="W75" s="34">
        <f>IF(Table1[[#This Row],[OVERALL REACHED]]&gt;50%,0,IF(Table1[[#This Row],[OVERALL REACHED]]&gt;0%,1,2))</f>
        <v>2</v>
      </c>
      <c r="X75" s="37">
        <f>SUM(Table1[[#This Row],[ACCESS SCORE]],Table1[[#This Row],[PARTNER PRESENCE SCORE]],Table1[[#This Row],[''Neglected'' LOCATION SCORE (REACHED)]])</f>
        <v>5</v>
      </c>
      <c r="Y7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75" s="13" cm="1">
        <f t="array" ref="Z75">_xlfn.XLOOKUP(Table1[[#This Row],[2026 - Final Severity of Needs]]&amp;Table1[[#This Row],[Priority]],'2. Lookup'!A:A&amp;'2. Lookup'!B:B,'2. Lookup'!C:C,0)</f>
        <v>0.1</v>
      </c>
      <c r="AA75" s="49">
        <f>Table1[[#This Row],[Target Coverage]]*Table1[[#This Row],[2026 - PiN]]</f>
        <v>1097.9000000000001</v>
      </c>
      <c r="AB75" s="49">
        <f>IFERROR(Table1[[#This Row],[Target Coverage]]*Table1[[#This Row],[ IDPs ]],0)</f>
        <v>1097.9000000000001</v>
      </c>
      <c r="AC75" s="49">
        <f>IFERROR(Table1[[#This Row],[Target Coverage]]*Table1[[#This Row],[ Returnees ]],0)</f>
        <v>0</v>
      </c>
      <c r="AD75" s="49">
        <f>IFERROR(Table1[[#This Row],[Target Coverage]]*Table1[[#This Row],[ Refugees in Sudan ]],0)</f>
        <v>0</v>
      </c>
    </row>
    <row r="76" spans="1:30" x14ac:dyDescent="0.25">
      <c r="A76" s="3" t="s">
        <v>155</v>
      </c>
      <c r="B76" s="3" t="s">
        <v>160</v>
      </c>
      <c r="C76" s="3" t="s">
        <v>161</v>
      </c>
      <c r="D76" s="4">
        <v>65552</v>
      </c>
      <c r="E76" s="3" t="s">
        <v>23</v>
      </c>
      <c r="F76" s="3" t="s">
        <v>24</v>
      </c>
      <c r="G76" s="4">
        <f>SUM(Table1[[#This Row],[ IDPs ]:[ Refugees in Sudan ]])</f>
        <v>65552</v>
      </c>
      <c r="H76" s="29">
        <v>4</v>
      </c>
      <c r="I76" s="4">
        <v>53513</v>
      </c>
      <c r="J76" s="4" t="s">
        <v>411</v>
      </c>
      <c r="K7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76" s="4"/>
      <c r="M76" s="4"/>
      <c r="N76" s="4"/>
      <c r="O76" s="4"/>
      <c r="P76" s="4">
        <f>MAX(Table1[[#This Row],['#Protection Partners]:['# MA Partners]])</f>
        <v>0</v>
      </c>
      <c r="Q76" s="35">
        <f>IF(Table1[[#This Row],[OVERALL PARTNERS]]&lt;=0,1,IF(Table1[[#This Row],[OVERALL PARTNERS]]&lt;6,0.5,IF(Table1[[#This Row],[OVERALL PARTNERS]]&lt;10,0,0)))</f>
        <v>1</v>
      </c>
      <c r="R76" s="4"/>
      <c r="S76" s="4"/>
      <c r="T76" s="4"/>
      <c r="U76" s="4"/>
      <c r="V76" s="13">
        <f>MAX(Table1[[#This Row],[People Reached Protection]:[People Reached MA]])/Table1[[#This Row],[2025 - Targets]]</f>
        <v>0</v>
      </c>
      <c r="W76" s="34">
        <f>IF(Table1[[#This Row],[OVERALL REACHED]]&gt;50%,0,IF(Table1[[#This Row],[OVERALL REACHED]]&gt;0%,1,2))</f>
        <v>2</v>
      </c>
      <c r="X76" s="37">
        <f>SUM(Table1[[#This Row],[ACCESS SCORE]],Table1[[#This Row],[PARTNER PRESENCE SCORE]],Table1[[#This Row],[''Neglected'' LOCATION SCORE (REACHED)]])</f>
        <v>5</v>
      </c>
      <c r="Y7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76" s="13" cm="1">
        <f t="array" ref="Z76">_xlfn.XLOOKUP(Table1[[#This Row],[2026 - Final Severity of Needs]]&amp;Table1[[#This Row],[Priority]],'2. Lookup'!A:A&amp;'2. Lookup'!B:B,'2. Lookup'!C:C,0)</f>
        <v>0.2</v>
      </c>
      <c r="AA76" s="49">
        <f>Table1[[#This Row],[Target Coverage]]*Table1[[#This Row],[2026 - PiN]]</f>
        <v>13110.400000000001</v>
      </c>
      <c r="AB76" s="49">
        <f>IFERROR(Table1[[#This Row],[Target Coverage]]*Table1[[#This Row],[ IDPs ]],0)</f>
        <v>13110.400000000001</v>
      </c>
      <c r="AC76" s="49">
        <f>IFERROR(Table1[[#This Row],[Target Coverage]]*Table1[[#This Row],[ Returnees ]],0)</f>
        <v>0</v>
      </c>
      <c r="AD76" s="49">
        <f>IFERROR(Table1[[#This Row],[Target Coverage]]*Table1[[#This Row],[ Refugees in Sudan ]],0)</f>
        <v>0</v>
      </c>
    </row>
    <row r="77" spans="1:30" x14ac:dyDescent="0.25">
      <c r="A77" s="1" t="s">
        <v>155</v>
      </c>
      <c r="B77" s="1" t="s">
        <v>162</v>
      </c>
      <c r="C77" s="1" t="s">
        <v>163</v>
      </c>
      <c r="D77" s="1">
        <v>0</v>
      </c>
      <c r="E77" s="1" t="s">
        <v>23</v>
      </c>
      <c r="F77" s="1" t="s">
        <v>24</v>
      </c>
      <c r="G77" s="2">
        <f>SUM(Table1[[#This Row],[ IDPs ]:[ Refugees in Sudan ]])</f>
        <v>0</v>
      </c>
      <c r="H77" s="30">
        <v>3</v>
      </c>
      <c r="I77" s="2">
        <v>8970</v>
      </c>
      <c r="J77" s="4" t="s">
        <v>414</v>
      </c>
      <c r="K7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77" s="4"/>
      <c r="M77" s="4"/>
      <c r="N77" s="4"/>
      <c r="O77" s="4"/>
      <c r="P77" s="4">
        <f>MAX(Table1[[#This Row],['#Protection Partners]:['# MA Partners]])</f>
        <v>0</v>
      </c>
      <c r="Q77" s="35">
        <f>IF(Table1[[#This Row],[OVERALL PARTNERS]]&lt;=0,1,IF(Table1[[#This Row],[OVERALL PARTNERS]]&lt;6,0.5,IF(Table1[[#This Row],[OVERALL PARTNERS]]&lt;10,0,0)))</f>
        <v>1</v>
      </c>
      <c r="R77" s="4"/>
      <c r="S77" s="4"/>
      <c r="T77" s="4"/>
      <c r="U77" s="4"/>
      <c r="V77" s="13">
        <f>MAX(Table1[[#This Row],[People Reached Protection]:[People Reached MA]])/Table1[[#This Row],[2025 - Targets]]</f>
        <v>0</v>
      </c>
      <c r="W77" s="34">
        <f>IF(Table1[[#This Row],[OVERALL REACHED]]&gt;50%,0,IF(Table1[[#This Row],[OVERALL REACHED]]&gt;0%,1,2))</f>
        <v>2</v>
      </c>
      <c r="X77" s="37">
        <f>SUM(Table1[[#This Row],[ACCESS SCORE]],Table1[[#This Row],[PARTNER PRESENCE SCORE]],Table1[[#This Row],[''Neglected'' LOCATION SCORE (REACHED)]])</f>
        <v>4</v>
      </c>
      <c r="Y7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77" s="13" cm="1">
        <f t="array" ref="Z77">_xlfn.XLOOKUP(Table1[[#This Row],[2026 - Final Severity of Needs]]&amp;Table1[[#This Row],[Priority]],'2. Lookup'!A:A&amp;'2. Lookup'!B:B,'2. Lookup'!C:C,0)</f>
        <v>0.1</v>
      </c>
      <c r="AA77" s="49">
        <f>Table1[[#This Row],[Target Coverage]]*Table1[[#This Row],[2026 - PiN]]</f>
        <v>0</v>
      </c>
      <c r="AB77" s="49">
        <f>IFERROR(Table1[[#This Row],[Target Coverage]]*Table1[[#This Row],[ IDPs ]],0)</f>
        <v>0</v>
      </c>
      <c r="AC77" s="49">
        <f>IFERROR(Table1[[#This Row],[Target Coverage]]*Table1[[#This Row],[ Returnees ]],0)</f>
        <v>0</v>
      </c>
      <c r="AD77" s="49">
        <f>IFERROR(Table1[[#This Row],[Target Coverage]]*Table1[[#This Row],[ Refugees in Sudan ]],0)</f>
        <v>0</v>
      </c>
    </row>
    <row r="78" spans="1:30" x14ac:dyDescent="0.25">
      <c r="A78" s="3" t="s">
        <v>155</v>
      </c>
      <c r="B78" s="3" t="s">
        <v>164</v>
      </c>
      <c r="C78" s="3" t="s">
        <v>165</v>
      </c>
      <c r="D78" s="4">
        <v>22379</v>
      </c>
      <c r="E78" s="3" t="s">
        <v>23</v>
      </c>
      <c r="F78" s="3">
        <v>159</v>
      </c>
      <c r="G78" s="4">
        <f>SUM(Table1[[#This Row],[ IDPs ]:[ Refugees in Sudan ]])</f>
        <v>22538</v>
      </c>
      <c r="H78" s="29">
        <v>4</v>
      </c>
      <c r="I78" s="4">
        <v>23636</v>
      </c>
      <c r="J78" s="4" t="s">
        <v>414</v>
      </c>
      <c r="K7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78" s="4"/>
      <c r="M78" s="4"/>
      <c r="N78" s="4"/>
      <c r="O78" s="4"/>
      <c r="P78" s="4">
        <f>MAX(Table1[[#This Row],['#Protection Partners]:['# MA Partners]])</f>
        <v>0</v>
      </c>
      <c r="Q78" s="35">
        <f>IF(Table1[[#This Row],[OVERALL PARTNERS]]&lt;=0,1,IF(Table1[[#This Row],[OVERALL PARTNERS]]&lt;6,0.5,IF(Table1[[#This Row],[OVERALL PARTNERS]]&lt;10,0,0)))</f>
        <v>1</v>
      </c>
      <c r="R78" s="4"/>
      <c r="S78" s="4"/>
      <c r="T78" s="4"/>
      <c r="U78" s="4"/>
      <c r="V78" s="13">
        <f>MAX(Table1[[#This Row],[People Reached Protection]:[People Reached MA]])/Table1[[#This Row],[2025 - Targets]]</f>
        <v>0</v>
      </c>
      <c r="W78" s="34">
        <f>IF(Table1[[#This Row],[OVERALL REACHED]]&gt;50%,0,IF(Table1[[#This Row],[OVERALL REACHED]]&gt;0%,1,2))</f>
        <v>2</v>
      </c>
      <c r="X78" s="37">
        <f>SUM(Table1[[#This Row],[ACCESS SCORE]],Table1[[#This Row],[PARTNER PRESENCE SCORE]],Table1[[#This Row],[''Neglected'' LOCATION SCORE (REACHED)]])</f>
        <v>4</v>
      </c>
      <c r="Y7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78" s="13" cm="1">
        <f t="array" ref="Z78">_xlfn.XLOOKUP(Table1[[#This Row],[2026 - Final Severity of Needs]]&amp;Table1[[#This Row],[Priority]],'2. Lookup'!A:A&amp;'2. Lookup'!B:B,'2. Lookup'!C:C,0)</f>
        <v>0.2</v>
      </c>
      <c r="AA78" s="49">
        <f>Table1[[#This Row],[Target Coverage]]*Table1[[#This Row],[2026 - PiN]]</f>
        <v>4507.6000000000004</v>
      </c>
      <c r="AB78" s="49">
        <f>IFERROR(Table1[[#This Row],[Target Coverage]]*Table1[[#This Row],[ IDPs ]],0)</f>
        <v>4475.8</v>
      </c>
      <c r="AC78" s="49">
        <f>IFERROR(Table1[[#This Row],[Target Coverage]]*Table1[[#This Row],[ Returnees ]],0)</f>
        <v>0</v>
      </c>
      <c r="AD78" s="49">
        <f>IFERROR(Table1[[#This Row],[Target Coverage]]*Table1[[#This Row],[ Refugees in Sudan ]],0)</f>
        <v>31.8</v>
      </c>
    </row>
    <row r="79" spans="1:30" x14ac:dyDescent="0.25">
      <c r="A79" s="1" t="s">
        <v>155</v>
      </c>
      <c r="B79" s="1" t="s">
        <v>166</v>
      </c>
      <c r="C79" s="1" t="s">
        <v>167</v>
      </c>
      <c r="D79" s="2">
        <v>8685</v>
      </c>
      <c r="E79" s="1" t="s">
        <v>23</v>
      </c>
      <c r="F79" s="1">
        <v>287</v>
      </c>
      <c r="G79" s="2">
        <f>SUM(Table1[[#This Row],[ IDPs ]:[ Refugees in Sudan ]])</f>
        <v>8972</v>
      </c>
      <c r="H79" s="30">
        <v>4</v>
      </c>
      <c r="I79" s="2">
        <v>19696</v>
      </c>
      <c r="J79" s="4" t="s">
        <v>414</v>
      </c>
      <c r="K7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79" s="4"/>
      <c r="M79" s="4"/>
      <c r="N79" s="4"/>
      <c r="O79" s="4"/>
      <c r="P79" s="4">
        <f>MAX(Table1[[#This Row],['#Protection Partners]:['# MA Partners]])</f>
        <v>0</v>
      </c>
      <c r="Q79" s="35">
        <f>IF(Table1[[#This Row],[OVERALL PARTNERS]]&lt;=0,1,IF(Table1[[#This Row],[OVERALL PARTNERS]]&lt;6,0.5,IF(Table1[[#This Row],[OVERALL PARTNERS]]&lt;10,0,0)))</f>
        <v>1</v>
      </c>
      <c r="R79" s="4"/>
      <c r="S79" s="4"/>
      <c r="T79" s="4"/>
      <c r="U79" s="4"/>
      <c r="V79" s="13">
        <f>MAX(Table1[[#This Row],[People Reached Protection]:[People Reached MA]])/Table1[[#This Row],[2025 - Targets]]</f>
        <v>0</v>
      </c>
      <c r="W79" s="34">
        <f>IF(Table1[[#This Row],[OVERALL REACHED]]&gt;50%,0,IF(Table1[[#This Row],[OVERALL REACHED]]&gt;0%,1,2))</f>
        <v>2</v>
      </c>
      <c r="X79" s="37">
        <f>SUM(Table1[[#This Row],[ACCESS SCORE]],Table1[[#This Row],[PARTNER PRESENCE SCORE]],Table1[[#This Row],[''Neglected'' LOCATION SCORE (REACHED)]])</f>
        <v>4</v>
      </c>
      <c r="Y7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79" s="13" cm="1">
        <f t="array" ref="Z79">_xlfn.XLOOKUP(Table1[[#This Row],[2026 - Final Severity of Needs]]&amp;Table1[[#This Row],[Priority]],'2. Lookup'!A:A&amp;'2. Lookup'!B:B,'2. Lookup'!C:C,0)</f>
        <v>0.2</v>
      </c>
      <c r="AA79" s="49">
        <f>Table1[[#This Row],[Target Coverage]]*Table1[[#This Row],[2026 - PiN]]</f>
        <v>1794.4</v>
      </c>
      <c r="AB79" s="49">
        <f>IFERROR(Table1[[#This Row],[Target Coverage]]*Table1[[#This Row],[ IDPs ]],0)</f>
        <v>1737</v>
      </c>
      <c r="AC79" s="49">
        <f>IFERROR(Table1[[#This Row],[Target Coverage]]*Table1[[#This Row],[ Returnees ]],0)</f>
        <v>0</v>
      </c>
      <c r="AD79" s="49">
        <f>IFERROR(Table1[[#This Row],[Target Coverage]]*Table1[[#This Row],[ Refugees in Sudan ]],0)</f>
        <v>57.400000000000006</v>
      </c>
    </row>
    <row r="80" spans="1:30" x14ac:dyDescent="0.25">
      <c r="A80" s="3" t="s">
        <v>155</v>
      </c>
      <c r="B80" s="3" t="s">
        <v>168</v>
      </c>
      <c r="C80" s="3" t="s">
        <v>169</v>
      </c>
      <c r="D80" s="4">
        <v>42405</v>
      </c>
      <c r="E80" s="3" t="s">
        <v>23</v>
      </c>
      <c r="F80" s="3">
        <v>612</v>
      </c>
      <c r="G80" s="4">
        <f>SUM(Table1[[#This Row],[ IDPs ]:[ Refugees in Sudan ]])</f>
        <v>43017</v>
      </c>
      <c r="H80" s="29">
        <v>5</v>
      </c>
      <c r="I80" s="4">
        <v>51609</v>
      </c>
      <c r="J80" s="4" t="s">
        <v>411</v>
      </c>
      <c r="K8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80" s="4"/>
      <c r="M80" s="4"/>
      <c r="N80" s="4"/>
      <c r="O80" s="4"/>
      <c r="P80" s="4">
        <f>MAX(Table1[[#This Row],['#Protection Partners]:['# MA Partners]])</f>
        <v>0</v>
      </c>
      <c r="Q80" s="35">
        <f>IF(Table1[[#This Row],[OVERALL PARTNERS]]&lt;=0,1,IF(Table1[[#This Row],[OVERALL PARTNERS]]&lt;6,0.5,IF(Table1[[#This Row],[OVERALL PARTNERS]]&lt;10,0,0)))</f>
        <v>1</v>
      </c>
      <c r="R80" s="4"/>
      <c r="S80" s="4"/>
      <c r="T80" s="4"/>
      <c r="U80" s="4"/>
      <c r="V80" s="13">
        <f>MAX(Table1[[#This Row],[People Reached Protection]:[People Reached MA]])/Table1[[#This Row],[2025 - Targets]]</f>
        <v>0</v>
      </c>
      <c r="W80" s="34">
        <f>IF(Table1[[#This Row],[OVERALL REACHED]]&gt;50%,0,IF(Table1[[#This Row],[OVERALL REACHED]]&gt;0%,1,2))</f>
        <v>2</v>
      </c>
      <c r="X80" s="37">
        <f>SUM(Table1[[#This Row],[ACCESS SCORE]],Table1[[#This Row],[PARTNER PRESENCE SCORE]],Table1[[#This Row],[''Neglected'' LOCATION SCORE (REACHED)]])</f>
        <v>5</v>
      </c>
      <c r="Y8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0" s="13" cm="1">
        <f t="array" ref="Z80">_xlfn.XLOOKUP(Table1[[#This Row],[2026 - Final Severity of Needs]]&amp;Table1[[#This Row],[Priority]],'2. Lookup'!A:A&amp;'2. Lookup'!B:B,'2. Lookup'!C:C,0)</f>
        <v>0.4</v>
      </c>
      <c r="AA80" s="49">
        <f>Table1[[#This Row],[Target Coverage]]*Table1[[#This Row],[2026 - PiN]]</f>
        <v>17206.8</v>
      </c>
      <c r="AB80" s="49">
        <f>IFERROR(Table1[[#This Row],[Target Coverage]]*Table1[[#This Row],[ IDPs ]],0)</f>
        <v>16962</v>
      </c>
      <c r="AC80" s="49">
        <f>IFERROR(Table1[[#This Row],[Target Coverage]]*Table1[[#This Row],[ Returnees ]],0)</f>
        <v>0</v>
      </c>
      <c r="AD80" s="49">
        <f>IFERROR(Table1[[#This Row],[Target Coverage]]*Table1[[#This Row],[ Refugees in Sudan ]],0)</f>
        <v>244.8</v>
      </c>
    </row>
    <row r="81" spans="1:30" x14ac:dyDescent="0.25">
      <c r="A81" s="1" t="s">
        <v>155</v>
      </c>
      <c r="B81" s="1" t="s">
        <v>170</v>
      </c>
      <c r="C81" s="1" t="s">
        <v>171</v>
      </c>
      <c r="D81" s="1">
        <v>0</v>
      </c>
      <c r="E81" s="1" t="s">
        <v>23</v>
      </c>
      <c r="F81" s="1" t="s">
        <v>24</v>
      </c>
      <c r="G81" s="2">
        <f>SUM(Table1[[#This Row],[ IDPs ]:[ Refugees in Sudan ]])</f>
        <v>0</v>
      </c>
      <c r="H81" s="30">
        <v>4</v>
      </c>
      <c r="I81" s="2">
        <v>17257</v>
      </c>
      <c r="J81" s="4" t="s">
        <v>411</v>
      </c>
      <c r="K8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81" s="4"/>
      <c r="M81" s="4"/>
      <c r="N81" s="4"/>
      <c r="O81" s="4"/>
      <c r="P81" s="4">
        <f>MAX(Table1[[#This Row],['#Protection Partners]:['# MA Partners]])</f>
        <v>0</v>
      </c>
      <c r="Q81" s="35">
        <f>IF(Table1[[#This Row],[OVERALL PARTNERS]]&lt;=0,1,IF(Table1[[#This Row],[OVERALL PARTNERS]]&lt;6,0.5,IF(Table1[[#This Row],[OVERALL PARTNERS]]&lt;10,0,0)))</f>
        <v>1</v>
      </c>
      <c r="R81" s="4"/>
      <c r="S81" s="4"/>
      <c r="T81" s="4"/>
      <c r="U81" s="4"/>
      <c r="V81" s="13">
        <f>MAX(Table1[[#This Row],[People Reached Protection]:[People Reached MA]])/Table1[[#This Row],[2025 - Targets]]</f>
        <v>0</v>
      </c>
      <c r="W81" s="34">
        <f>IF(Table1[[#This Row],[OVERALL REACHED]]&gt;50%,0,IF(Table1[[#This Row],[OVERALL REACHED]]&gt;0%,1,2))</f>
        <v>2</v>
      </c>
      <c r="X81" s="37">
        <f>SUM(Table1[[#This Row],[ACCESS SCORE]],Table1[[#This Row],[PARTNER PRESENCE SCORE]],Table1[[#This Row],[''Neglected'' LOCATION SCORE (REACHED)]])</f>
        <v>5</v>
      </c>
      <c r="Y8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1" s="13" cm="1">
        <f t="array" ref="Z81">_xlfn.XLOOKUP(Table1[[#This Row],[2026 - Final Severity of Needs]]&amp;Table1[[#This Row],[Priority]],'2. Lookup'!A:A&amp;'2. Lookup'!B:B,'2. Lookup'!C:C,0)</f>
        <v>0.2</v>
      </c>
      <c r="AA81" s="49">
        <f>Table1[[#This Row],[Target Coverage]]*Table1[[#This Row],[2026 - PiN]]</f>
        <v>0</v>
      </c>
      <c r="AB81" s="49">
        <f>IFERROR(Table1[[#This Row],[Target Coverage]]*Table1[[#This Row],[ IDPs ]],0)</f>
        <v>0</v>
      </c>
      <c r="AC81" s="49">
        <f>IFERROR(Table1[[#This Row],[Target Coverage]]*Table1[[#This Row],[ Returnees ]],0)</f>
        <v>0</v>
      </c>
      <c r="AD81" s="49">
        <f>IFERROR(Table1[[#This Row],[Target Coverage]]*Table1[[#This Row],[ Refugees in Sudan ]],0)</f>
        <v>0</v>
      </c>
    </row>
    <row r="82" spans="1:30" x14ac:dyDescent="0.25">
      <c r="A82" s="3" t="s">
        <v>155</v>
      </c>
      <c r="B82" s="3" t="s">
        <v>172</v>
      </c>
      <c r="C82" s="3" t="s">
        <v>173</v>
      </c>
      <c r="D82" s="4">
        <v>37180</v>
      </c>
      <c r="E82" s="3" t="s">
        <v>23</v>
      </c>
      <c r="F82" s="3" t="s">
        <v>24</v>
      </c>
      <c r="G82" s="4">
        <f>SUM(Table1[[#This Row],[ IDPs ]:[ Refugees in Sudan ]])</f>
        <v>37180</v>
      </c>
      <c r="H82" s="29">
        <v>4</v>
      </c>
      <c r="I82" s="4">
        <v>27488</v>
      </c>
      <c r="J82" s="4" t="s">
        <v>414</v>
      </c>
      <c r="K8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82" s="4"/>
      <c r="M82" s="4"/>
      <c r="N82" s="4"/>
      <c r="O82" s="4"/>
      <c r="P82" s="4">
        <f>MAX(Table1[[#This Row],['#Protection Partners]:['# MA Partners]])</f>
        <v>0</v>
      </c>
      <c r="Q82" s="35">
        <f>IF(Table1[[#This Row],[OVERALL PARTNERS]]&lt;=0,1,IF(Table1[[#This Row],[OVERALL PARTNERS]]&lt;6,0.5,IF(Table1[[#This Row],[OVERALL PARTNERS]]&lt;10,0,0)))</f>
        <v>1</v>
      </c>
      <c r="R82" s="4"/>
      <c r="S82" s="4"/>
      <c r="T82" s="4"/>
      <c r="U82" s="4"/>
      <c r="V82" s="13">
        <f>MAX(Table1[[#This Row],[People Reached Protection]:[People Reached MA]])/Table1[[#This Row],[2025 - Targets]]</f>
        <v>0</v>
      </c>
      <c r="W82" s="34">
        <f>IF(Table1[[#This Row],[OVERALL REACHED]]&gt;50%,0,IF(Table1[[#This Row],[OVERALL REACHED]]&gt;0%,1,2))</f>
        <v>2</v>
      </c>
      <c r="X82" s="37">
        <f>SUM(Table1[[#This Row],[ACCESS SCORE]],Table1[[#This Row],[PARTNER PRESENCE SCORE]],Table1[[#This Row],[''Neglected'' LOCATION SCORE (REACHED)]])</f>
        <v>4</v>
      </c>
      <c r="Y8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2" s="13" cm="1">
        <f t="array" ref="Z82">_xlfn.XLOOKUP(Table1[[#This Row],[2026 - Final Severity of Needs]]&amp;Table1[[#This Row],[Priority]],'2. Lookup'!A:A&amp;'2. Lookup'!B:B,'2. Lookup'!C:C,0)</f>
        <v>0.2</v>
      </c>
      <c r="AA82" s="49">
        <f>Table1[[#This Row],[Target Coverage]]*Table1[[#This Row],[2026 - PiN]]</f>
        <v>7436</v>
      </c>
      <c r="AB82" s="49">
        <f>IFERROR(Table1[[#This Row],[Target Coverage]]*Table1[[#This Row],[ IDPs ]],0)</f>
        <v>7436</v>
      </c>
      <c r="AC82" s="49">
        <f>IFERROR(Table1[[#This Row],[Target Coverage]]*Table1[[#This Row],[ Returnees ]],0)</f>
        <v>0</v>
      </c>
      <c r="AD82" s="49">
        <f>IFERROR(Table1[[#This Row],[Target Coverage]]*Table1[[#This Row],[ Refugees in Sudan ]],0)</f>
        <v>0</v>
      </c>
    </row>
    <row r="83" spans="1:30" x14ac:dyDescent="0.25">
      <c r="A83" s="1" t="s">
        <v>155</v>
      </c>
      <c r="B83" s="1" t="s">
        <v>174</v>
      </c>
      <c r="C83" s="1" t="s">
        <v>175</v>
      </c>
      <c r="D83" s="2">
        <v>86095</v>
      </c>
      <c r="E83" s="1" t="s">
        <v>23</v>
      </c>
      <c r="F83" s="2">
        <v>1772</v>
      </c>
      <c r="G83" s="2">
        <f>SUM(Table1[[#This Row],[ IDPs ]:[ Refugees in Sudan ]])</f>
        <v>87867</v>
      </c>
      <c r="H83" s="30">
        <v>5</v>
      </c>
      <c r="I83" s="2">
        <v>59262</v>
      </c>
      <c r="J83" s="4" t="s">
        <v>413</v>
      </c>
      <c r="K8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83" s="4"/>
      <c r="M83" s="4"/>
      <c r="N83" s="4"/>
      <c r="O83" s="4"/>
      <c r="P83" s="4">
        <f>MAX(Table1[[#This Row],['#Protection Partners]:['# MA Partners]])</f>
        <v>0</v>
      </c>
      <c r="Q83" s="35">
        <f>IF(Table1[[#This Row],[OVERALL PARTNERS]]&lt;=0,1,IF(Table1[[#This Row],[OVERALL PARTNERS]]&lt;6,0.5,IF(Table1[[#This Row],[OVERALL PARTNERS]]&lt;10,0,0)))</f>
        <v>1</v>
      </c>
      <c r="R83" s="4"/>
      <c r="S83" s="4"/>
      <c r="T83" s="4"/>
      <c r="U83" s="4"/>
      <c r="V83" s="13">
        <f>MAX(Table1[[#This Row],[People Reached Protection]:[People Reached MA]])/Table1[[#This Row],[2025 - Targets]]</f>
        <v>0</v>
      </c>
      <c r="W83" s="34">
        <f>IF(Table1[[#This Row],[OVERALL REACHED]]&gt;50%,0,IF(Table1[[#This Row],[OVERALL REACHED]]&gt;0%,1,2))</f>
        <v>2</v>
      </c>
      <c r="X83" s="37">
        <f>SUM(Table1[[#This Row],[ACCESS SCORE]],Table1[[#This Row],[PARTNER PRESENCE SCORE]],Table1[[#This Row],[''Neglected'' LOCATION SCORE (REACHED)]])</f>
        <v>4</v>
      </c>
      <c r="Y8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3" s="13" cm="1">
        <f t="array" ref="Z83">_xlfn.XLOOKUP(Table1[[#This Row],[2026 - Final Severity of Needs]]&amp;Table1[[#This Row],[Priority]],'2. Lookup'!A:A&amp;'2. Lookup'!B:B,'2. Lookup'!C:C,0)</f>
        <v>0.4</v>
      </c>
      <c r="AA83" s="49">
        <f>Table1[[#This Row],[Target Coverage]]*Table1[[#This Row],[2026 - PiN]]</f>
        <v>35146.800000000003</v>
      </c>
      <c r="AB83" s="49">
        <f>IFERROR(Table1[[#This Row],[Target Coverage]]*Table1[[#This Row],[ IDPs ]],0)</f>
        <v>34438</v>
      </c>
      <c r="AC83" s="49">
        <f>IFERROR(Table1[[#This Row],[Target Coverage]]*Table1[[#This Row],[ Returnees ]],0)</f>
        <v>0</v>
      </c>
      <c r="AD83" s="49">
        <f>IFERROR(Table1[[#This Row],[Target Coverage]]*Table1[[#This Row],[ Refugees in Sudan ]],0)</f>
        <v>708.80000000000007</v>
      </c>
    </row>
    <row r="84" spans="1:30" x14ac:dyDescent="0.25">
      <c r="A84" s="3" t="s">
        <v>155</v>
      </c>
      <c r="B84" s="3" t="s">
        <v>176</v>
      </c>
      <c r="C84" s="3" t="s">
        <v>177</v>
      </c>
      <c r="D84" s="3">
        <v>0</v>
      </c>
      <c r="E84" s="3" t="s">
        <v>23</v>
      </c>
      <c r="F84" s="3" t="s">
        <v>24</v>
      </c>
      <c r="G84" s="4">
        <f>SUM(Table1[[#This Row],[ IDPs ]:[ Refugees in Sudan ]])</f>
        <v>0</v>
      </c>
      <c r="H84" s="29">
        <v>4</v>
      </c>
      <c r="I84" s="4">
        <v>12194</v>
      </c>
      <c r="J84" s="4" t="s">
        <v>411</v>
      </c>
      <c r="K8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84" s="4"/>
      <c r="M84" s="4"/>
      <c r="N84" s="4"/>
      <c r="O84" s="4"/>
      <c r="P84" s="4">
        <f>MAX(Table1[[#This Row],['#Protection Partners]:['# MA Partners]])</f>
        <v>0</v>
      </c>
      <c r="Q84" s="35">
        <f>IF(Table1[[#This Row],[OVERALL PARTNERS]]&lt;=0,1,IF(Table1[[#This Row],[OVERALL PARTNERS]]&lt;6,0.5,IF(Table1[[#This Row],[OVERALL PARTNERS]]&lt;10,0,0)))</f>
        <v>1</v>
      </c>
      <c r="R84" s="4"/>
      <c r="S84" s="4"/>
      <c r="T84" s="4"/>
      <c r="U84" s="4"/>
      <c r="V84" s="13">
        <f>MAX(Table1[[#This Row],[People Reached Protection]:[People Reached MA]])/Table1[[#This Row],[2025 - Targets]]</f>
        <v>0</v>
      </c>
      <c r="W84" s="34">
        <f>IF(Table1[[#This Row],[OVERALL REACHED]]&gt;50%,0,IF(Table1[[#This Row],[OVERALL REACHED]]&gt;0%,1,2))</f>
        <v>2</v>
      </c>
      <c r="X84" s="37">
        <f>SUM(Table1[[#This Row],[ACCESS SCORE]],Table1[[#This Row],[PARTNER PRESENCE SCORE]],Table1[[#This Row],[''Neglected'' LOCATION SCORE (REACHED)]])</f>
        <v>5</v>
      </c>
      <c r="Y8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4" s="13" cm="1">
        <f t="array" ref="Z84">_xlfn.XLOOKUP(Table1[[#This Row],[2026 - Final Severity of Needs]]&amp;Table1[[#This Row],[Priority]],'2. Lookup'!A:A&amp;'2. Lookup'!B:B,'2. Lookup'!C:C,0)</f>
        <v>0.2</v>
      </c>
      <c r="AA84" s="49">
        <f>Table1[[#This Row],[Target Coverage]]*Table1[[#This Row],[2026 - PiN]]</f>
        <v>0</v>
      </c>
      <c r="AB84" s="49">
        <f>IFERROR(Table1[[#This Row],[Target Coverage]]*Table1[[#This Row],[ IDPs ]],0)</f>
        <v>0</v>
      </c>
      <c r="AC84" s="49">
        <f>IFERROR(Table1[[#This Row],[Target Coverage]]*Table1[[#This Row],[ Returnees ]],0)</f>
        <v>0</v>
      </c>
      <c r="AD84" s="49">
        <f>IFERROR(Table1[[#This Row],[Target Coverage]]*Table1[[#This Row],[ Refugees in Sudan ]],0)</f>
        <v>0</v>
      </c>
    </row>
    <row r="85" spans="1:30" x14ac:dyDescent="0.25">
      <c r="A85" s="1" t="s">
        <v>155</v>
      </c>
      <c r="B85" s="1" t="s">
        <v>178</v>
      </c>
      <c r="C85" s="1" t="s">
        <v>179</v>
      </c>
      <c r="D85" s="2">
        <v>11235</v>
      </c>
      <c r="E85" s="1" t="s">
        <v>23</v>
      </c>
      <c r="F85" s="1">
        <v>242</v>
      </c>
      <c r="G85" s="2">
        <f>SUM(Table1[[#This Row],[ IDPs ]:[ Refugees in Sudan ]])</f>
        <v>11477</v>
      </c>
      <c r="H85" s="30">
        <v>4</v>
      </c>
      <c r="I85" s="2">
        <v>41617</v>
      </c>
      <c r="J85" s="4" t="s">
        <v>413</v>
      </c>
      <c r="K8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85" s="4"/>
      <c r="M85" s="4"/>
      <c r="N85" s="4"/>
      <c r="O85" s="4"/>
      <c r="P85" s="4">
        <f>MAX(Table1[[#This Row],['#Protection Partners]:['# MA Partners]])</f>
        <v>0</v>
      </c>
      <c r="Q85" s="35">
        <f>IF(Table1[[#This Row],[OVERALL PARTNERS]]&lt;=0,1,IF(Table1[[#This Row],[OVERALL PARTNERS]]&lt;6,0.5,IF(Table1[[#This Row],[OVERALL PARTNERS]]&lt;10,0,0)))</f>
        <v>1</v>
      </c>
      <c r="R85" s="4"/>
      <c r="S85" s="4"/>
      <c r="T85" s="4"/>
      <c r="U85" s="4"/>
      <c r="V85" s="13">
        <f>MAX(Table1[[#This Row],[People Reached Protection]:[People Reached MA]])/Table1[[#This Row],[2025 - Targets]]</f>
        <v>0</v>
      </c>
      <c r="W85" s="34">
        <f>IF(Table1[[#This Row],[OVERALL REACHED]]&gt;50%,0,IF(Table1[[#This Row],[OVERALL REACHED]]&gt;0%,1,2))</f>
        <v>2</v>
      </c>
      <c r="X85" s="37">
        <f>SUM(Table1[[#This Row],[ACCESS SCORE]],Table1[[#This Row],[PARTNER PRESENCE SCORE]],Table1[[#This Row],[''Neglected'' LOCATION SCORE (REACHED)]])</f>
        <v>4</v>
      </c>
      <c r="Y8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5" s="13" cm="1">
        <f t="array" ref="Z85">_xlfn.XLOOKUP(Table1[[#This Row],[2026 - Final Severity of Needs]]&amp;Table1[[#This Row],[Priority]],'2. Lookup'!A:A&amp;'2. Lookup'!B:B,'2. Lookup'!C:C,0)</f>
        <v>0.2</v>
      </c>
      <c r="AA85" s="49">
        <f>Table1[[#This Row],[Target Coverage]]*Table1[[#This Row],[2026 - PiN]]</f>
        <v>2295.4</v>
      </c>
      <c r="AB85" s="49">
        <f>IFERROR(Table1[[#This Row],[Target Coverage]]*Table1[[#This Row],[ IDPs ]],0)</f>
        <v>2247</v>
      </c>
      <c r="AC85" s="49">
        <f>IFERROR(Table1[[#This Row],[Target Coverage]]*Table1[[#This Row],[ Returnees ]],0)</f>
        <v>0</v>
      </c>
      <c r="AD85" s="49">
        <f>IFERROR(Table1[[#This Row],[Target Coverage]]*Table1[[#This Row],[ Refugees in Sudan ]],0)</f>
        <v>48.400000000000006</v>
      </c>
    </row>
    <row r="86" spans="1:30" x14ac:dyDescent="0.25">
      <c r="A86" s="3" t="s">
        <v>155</v>
      </c>
      <c r="B86" s="3" t="s">
        <v>180</v>
      </c>
      <c r="C86" s="3" t="s">
        <v>181</v>
      </c>
      <c r="D86" s="4">
        <v>22733</v>
      </c>
      <c r="E86" s="3" t="s">
        <v>23</v>
      </c>
      <c r="F86" s="3" t="s">
        <v>24</v>
      </c>
      <c r="G86" s="4">
        <f>SUM(Table1[[#This Row],[ IDPs ]:[ Refugees in Sudan ]])</f>
        <v>22733</v>
      </c>
      <c r="H86" s="29">
        <v>4</v>
      </c>
      <c r="I86" s="4">
        <v>26609</v>
      </c>
      <c r="J86" s="4" t="s">
        <v>411</v>
      </c>
      <c r="K8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86" s="4"/>
      <c r="M86" s="4"/>
      <c r="N86" s="4"/>
      <c r="O86" s="4"/>
      <c r="P86" s="4">
        <f>MAX(Table1[[#This Row],['#Protection Partners]:['# MA Partners]])</f>
        <v>0</v>
      </c>
      <c r="Q86" s="35">
        <f>IF(Table1[[#This Row],[OVERALL PARTNERS]]&lt;=0,1,IF(Table1[[#This Row],[OVERALL PARTNERS]]&lt;6,0.5,IF(Table1[[#This Row],[OVERALL PARTNERS]]&lt;10,0,0)))</f>
        <v>1</v>
      </c>
      <c r="R86" s="4"/>
      <c r="S86" s="4"/>
      <c r="T86" s="4"/>
      <c r="U86" s="4"/>
      <c r="V86" s="13">
        <f>MAX(Table1[[#This Row],[People Reached Protection]:[People Reached MA]])/Table1[[#This Row],[2025 - Targets]]</f>
        <v>0</v>
      </c>
      <c r="W86" s="34">
        <f>IF(Table1[[#This Row],[OVERALL REACHED]]&gt;50%,0,IF(Table1[[#This Row],[OVERALL REACHED]]&gt;0%,1,2))</f>
        <v>2</v>
      </c>
      <c r="X86" s="37">
        <f>SUM(Table1[[#This Row],[ACCESS SCORE]],Table1[[#This Row],[PARTNER PRESENCE SCORE]],Table1[[#This Row],[''Neglected'' LOCATION SCORE (REACHED)]])</f>
        <v>5</v>
      </c>
      <c r="Y8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6" s="13" cm="1">
        <f t="array" ref="Z86">_xlfn.XLOOKUP(Table1[[#This Row],[2026 - Final Severity of Needs]]&amp;Table1[[#This Row],[Priority]],'2. Lookup'!A:A&amp;'2. Lookup'!B:B,'2. Lookup'!C:C,0)</f>
        <v>0.2</v>
      </c>
      <c r="AA86" s="49">
        <f>Table1[[#This Row],[Target Coverage]]*Table1[[#This Row],[2026 - PiN]]</f>
        <v>4546.6000000000004</v>
      </c>
      <c r="AB86" s="49">
        <f>IFERROR(Table1[[#This Row],[Target Coverage]]*Table1[[#This Row],[ IDPs ]],0)</f>
        <v>4546.6000000000004</v>
      </c>
      <c r="AC86" s="49">
        <f>IFERROR(Table1[[#This Row],[Target Coverage]]*Table1[[#This Row],[ Returnees ]],0)</f>
        <v>0</v>
      </c>
      <c r="AD86" s="49">
        <f>IFERROR(Table1[[#This Row],[Target Coverage]]*Table1[[#This Row],[ Refugees in Sudan ]],0)</f>
        <v>0</v>
      </c>
    </row>
    <row r="87" spans="1:30" x14ac:dyDescent="0.25">
      <c r="A87" s="1" t="s">
        <v>155</v>
      </c>
      <c r="B87" s="1" t="s">
        <v>182</v>
      </c>
      <c r="C87" s="1" t="s">
        <v>183</v>
      </c>
      <c r="D87" s="2">
        <v>7768</v>
      </c>
      <c r="E87" s="1" t="s">
        <v>23</v>
      </c>
      <c r="F87" s="2">
        <v>1732</v>
      </c>
      <c r="G87" s="2">
        <f>SUM(Table1[[#This Row],[ IDPs ]:[ Refugees in Sudan ]])</f>
        <v>9500</v>
      </c>
      <c r="H87" s="30">
        <v>3</v>
      </c>
      <c r="I87" s="2">
        <v>6871</v>
      </c>
      <c r="J87" s="4" t="s">
        <v>411</v>
      </c>
      <c r="K8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87" s="4"/>
      <c r="M87" s="4"/>
      <c r="N87" s="4"/>
      <c r="O87" s="4"/>
      <c r="P87" s="4">
        <f>MAX(Table1[[#This Row],['#Protection Partners]:['# MA Partners]])</f>
        <v>0</v>
      </c>
      <c r="Q87" s="35">
        <f>IF(Table1[[#This Row],[OVERALL PARTNERS]]&lt;=0,1,IF(Table1[[#This Row],[OVERALL PARTNERS]]&lt;6,0.5,IF(Table1[[#This Row],[OVERALL PARTNERS]]&lt;10,0,0)))</f>
        <v>1</v>
      </c>
      <c r="R87" s="4"/>
      <c r="S87" s="4"/>
      <c r="T87" s="4"/>
      <c r="U87" s="4"/>
      <c r="V87" s="13">
        <f>MAX(Table1[[#This Row],[People Reached Protection]:[People Reached MA]])/Table1[[#This Row],[2025 - Targets]]</f>
        <v>0</v>
      </c>
      <c r="W87" s="34">
        <f>IF(Table1[[#This Row],[OVERALL REACHED]]&gt;50%,0,IF(Table1[[#This Row],[OVERALL REACHED]]&gt;0%,1,2))</f>
        <v>2</v>
      </c>
      <c r="X87" s="37">
        <f>SUM(Table1[[#This Row],[ACCESS SCORE]],Table1[[#This Row],[PARTNER PRESENCE SCORE]],Table1[[#This Row],[''Neglected'' LOCATION SCORE (REACHED)]])</f>
        <v>5</v>
      </c>
      <c r="Y8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7" s="13" cm="1">
        <f t="array" ref="Z87">_xlfn.XLOOKUP(Table1[[#This Row],[2026 - Final Severity of Needs]]&amp;Table1[[#This Row],[Priority]],'2. Lookup'!A:A&amp;'2. Lookup'!B:B,'2. Lookup'!C:C,0)</f>
        <v>0.1</v>
      </c>
      <c r="AA87" s="49">
        <f>Table1[[#This Row],[Target Coverage]]*Table1[[#This Row],[2026 - PiN]]</f>
        <v>950</v>
      </c>
      <c r="AB87" s="49">
        <f>IFERROR(Table1[[#This Row],[Target Coverage]]*Table1[[#This Row],[ IDPs ]],0)</f>
        <v>776.80000000000007</v>
      </c>
      <c r="AC87" s="49">
        <f>IFERROR(Table1[[#This Row],[Target Coverage]]*Table1[[#This Row],[ Returnees ]],0)</f>
        <v>0</v>
      </c>
      <c r="AD87" s="49">
        <f>IFERROR(Table1[[#This Row],[Target Coverage]]*Table1[[#This Row],[ Refugees in Sudan ]],0)</f>
        <v>173.20000000000002</v>
      </c>
    </row>
    <row r="88" spans="1:30" x14ac:dyDescent="0.25">
      <c r="A88" s="3" t="s">
        <v>155</v>
      </c>
      <c r="B88" s="3" t="s">
        <v>184</v>
      </c>
      <c r="C88" s="3" t="s">
        <v>185</v>
      </c>
      <c r="D88" s="4">
        <v>2253</v>
      </c>
      <c r="E88" s="3" t="s">
        <v>23</v>
      </c>
      <c r="F88" s="3">
        <v>861</v>
      </c>
      <c r="G88" s="4">
        <f>SUM(Table1[[#This Row],[ IDPs ]:[ Refugees in Sudan ]])</f>
        <v>3114</v>
      </c>
      <c r="H88" s="29">
        <v>4</v>
      </c>
      <c r="I88" s="4">
        <v>7336</v>
      </c>
      <c r="J88" s="4" t="s">
        <v>410</v>
      </c>
      <c r="K8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88" s="4"/>
      <c r="M88" s="4"/>
      <c r="N88" s="4"/>
      <c r="O88" s="4"/>
      <c r="P88" s="4">
        <f>MAX(Table1[[#This Row],['#Protection Partners]:['# MA Partners]])</f>
        <v>0</v>
      </c>
      <c r="Q88" s="35">
        <f>IF(Table1[[#This Row],[OVERALL PARTNERS]]&lt;=0,1,IF(Table1[[#This Row],[OVERALL PARTNERS]]&lt;6,0.5,IF(Table1[[#This Row],[OVERALL PARTNERS]]&lt;10,0,0)))</f>
        <v>1</v>
      </c>
      <c r="R88" s="4"/>
      <c r="S88" s="4"/>
      <c r="T88" s="4"/>
      <c r="U88" s="4"/>
      <c r="V88" s="13">
        <f>MAX(Table1[[#This Row],[People Reached Protection]:[People Reached MA]])/Table1[[#This Row],[2025 - Targets]]</f>
        <v>0</v>
      </c>
      <c r="W88" s="34">
        <f>IF(Table1[[#This Row],[OVERALL REACHED]]&gt;50%,0,IF(Table1[[#This Row],[OVERALL REACHED]]&gt;0%,1,2))</f>
        <v>2</v>
      </c>
      <c r="X88" s="37">
        <f>SUM(Table1[[#This Row],[ACCESS SCORE]],Table1[[#This Row],[PARTNER PRESENCE SCORE]],Table1[[#This Row],[''Neglected'' LOCATION SCORE (REACHED)]])</f>
        <v>6</v>
      </c>
      <c r="Y8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88" s="13" cm="1">
        <f t="array" ref="Z88">_xlfn.XLOOKUP(Table1[[#This Row],[2026 - Final Severity of Needs]]&amp;Table1[[#This Row],[Priority]],'2. Lookup'!A:A&amp;'2. Lookup'!B:B,'2. Lookup'!C:C,0)</f>
        <v>0.4</v>
      </c>
      <c r="AA88" s="49">
        <f>Table1[[#This Row],[Target Coverage]]*Table1[[#This Row],[2026 - PiN]]</f>
        <v>1245.6000000000001</v>
      </c>
      <c r="AB88" s="49">
        <f>IFERROR(Table1[[#This Row],[Target Coverage]]*Table1[[#This Row],[ IDPs ]],0)</f>
        <v>901.2</v>
      </c>
      <c r="AC88" s="49">
        <f>IFERROR(Table1[[#This Row],[Target Coverage]]*Table1[[#This Row],[ Returnees ]],0)</f>
        <v>0</v>
      </c>
      <c r="AD88" s="49">
        <f>IFERROR(Table1[[#This Row],[Target Coverage]]*Table1[[#This Row],[ Refugees in Sudan ]],0)</f>
        <v>344.40000000000003</v>
      </c>
    </row>
    <row r="89" spans="1:30" x14ac:dyDescent="0.25">
      <c r="A89" s="1" t="s">
        <v>155</v>
      </c>
      <c r="B89" s="1" t="s">
        <v>186</v>
      </c>
      <c r="C89" s="1" t="s">
        <v>187</v>
      </c>
      <c r="D89" s="2">
        <v>6371</v>
      </c>
      <c r="E89" s="1" t="s">
        <v>23</v>
      </c>
      <c r="F89" s="1" t="s">
        <v>24</v>
      </c>
      <c r="G89" s="2">
        <f>SUM(Table1[[#This Row],[ IDPs ]:[ Refugees in Sudan ]])</f>
        <v>6371</v>
      </c>
      <c r="H89" s="30">
        <v>4</v>
      </c>
      <c r="I89" s="2">
        <v>5998</v>
      </c>
      <c r="J89" s="4" t="s">
        <v>413</v>
      </c>
      <c r="K8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89" s="4"/>
      <c r="M89" s="4"/>
      <c r="N89" s="4"/>
      <c r="O89" s="4"/>
      <c r="P89" s="4">
        <f>MAX(Table1[[#This Row],['#Protection Partners]:['# MA Partners]])</f>
        <v>0</v>
      </c>
      <c r="Q89" s="35">
        <f>IF(Table1[[#This Row],[OVERALL PARTNERS]]&lt;=0,1,IF(Table1[[#This Row],[OVERALL PARTNERS]]&lt;6,0.5,IF(Table1[[#This Row],[OVERALL PARTNERS]]&lt;10,0,0)))</f>
        <v>1</v>
      </c>
      <c r="R89" s="4"/>
      <c r="S89" s="4"/>
      <c r="T89" s="4"/>
      <c r="U89" s="4"/>
      <c r="V89" s="13">
        <f>MAX(Table1[[#This Row],[People Reached Protection]:[People Reached MA]])/Table1[[#This Row],[2025 - Targets]]</f>
        <v>0</v>
      </c>
      <c r="W89" s="34">
        <f>IF(Table1[[#This Row],[OVERALL REACHED]]&gt;50%,0,IF(Table1[[#This Row],[OVERALL REACHED]]&gt;0%,1,2))</f>
        <v>2</v>
      </c>
      <c r="X89" s="37">
        <f>SUM(Table1[[#This Row],[ACCESS SCORE]],Table1[[#This Row],[PARTNER PRESENCE SCORE]],Table1[[#This Row],[''Neglected'' LOCATION SCORE (REACHED)]])</f>
        <v>4</v>
      </c>
      <c r="Y8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89" s="13" cm="1">
        <f t="array" ref="Z89">_xlfn.XLOOKUP(Table1[[#This Row],[2026 - Final Severity of Needs]]&amp;Table1[[#This Row],[Priority]],'2. Lookup'!A:A&amp;'2. Lookup'!B:B,'2. Lookup'!C:C,0)</f>
        <v>0.2</v>
      </c>
      <c r="AA89" s="49">
        <f>Table1[[#This Row],[Target Coverage]]*Table1[[#This Row],[2026 - PiN]]</f>
        <v>1274.2</v>
      </c>
      <c r="AB89" s="49">
        <f>IFERROR(Table1[[#This Row],[Target Coverage]]*Table1[[#This Row],[ IDPs ]],0)</f>
        <v>1274.2</v>
      </c>
      <c r="AC89" s="49">
        <f>IFERROR(Table1[[#This Row],[Target Coverage]]*Table1[[#This Row],[ Returnees ]],0)</f>
        <v>0</v>
      </c>
      <c r="AD89" s="49">
        <f>IFERROR(Table1[[#This Row],[Target Coverage]]*Table1[[#This Row],[ Refugees in Sudan ]],0)</f>
        <v>0</v>
      </c>
    </row>
    <row r="90" spans="1:30" x14ac:dyDescent="0.25">
      <c r="A90" s="3" t="s">
        <v>155</v>
      </c>
      <c r="B90" s="3" t="s">
        <v>188</v>
      </c>
      <c r="C90" s="3" t="s">
        <v>189</v>
      </c>
      <c r="D90" s="4">
        <v>14118</v>
      </c>
      <c r="E90" s="3" t="s">
        <v>23</v>
      </c>
      <c r="F90" s="4">
        <v>12373</v>
      </c>
      <c r="G90" s="4">
        <f>SUM(Table1[[#This Row],[ IDPs ]:[ Refugees in Sudan ]])</f>
        <v>26491</v>
      </c>
      <c r="H90" s="29">
        <v>4</v>
      </c>
      <c r="I90" s="4">
        <v>9421</v>
      </c>
      <c r="J90" s="4" t="s">
        <v>414</v>
      </c>
      <c r="K9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90" s="4"/>
      <c r="M90" s="4"/>
      <c r="N90" s="4"/>
      <c r="O90" s="4"/>
      <c r="P90" s="4">
        <f>MAX(Table1[[#This Row],['#Protection Partners]:['# MA Partners]])</f>
        <v>0</v>
      </c>
      <c r="Q90" s="35">
        <f>IF(Table1[[#This Row],[OVERALL PARTNERS]]&lt;=0,1,IF(Table1[[#This Row],[OVERALL PARTNERS]]&lt;6,0.5,IF(Table1[[#This Row],[OVERALL PARTNERS]]&lt;10,0,0)))</f>
        <v>1</v>
      </c>
      <c r="R90" s="4"/>
      <c r="S90" s="4"/>
      <c r="T90" s="4"/>
      <c r="U90" s="4"/>
      <c r="V90" s="13">
        <f>MAX(Table1[[#This Row],[People Reached Protection]:[People Reached MA]])/Table1[[#This Row],[2025 - Targets]]</f>
        <v>0</v>
      </c>
      <c r="W90" s="34">
        <f>IF(Table1[[#This Row],[OVERALL REACHED]]&gt;50%,0,IF(Table1[[#This Row],[OVERALL REACHED]]&gt;0%,1,2))</f>
        <v>2</v>
      </c>
      <c r="X90" s="37">
        <f>SUM(Table1[[#This Row],[ACCESS SCORE]],Table1[[#This Row],[PARTNER PRESENCE SCORE]],Table1[[#This Row],[''Neglected'' LOCATION SCORE (REACHED)]])</f>
        <v>4</v>
      </c>
      <c r="Y9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90" s="13" cm="1">
        <f t="array" ref="Z90">_xlfn.XLOOKUP(Table1[[#This Row],[2026 - Final Severity of Needs]]&amp;Table1[[#This Row],[Priority]],'2. Lookup'!A:A&amp;'2. Lookup'!B:B,'2. Lookup'!C:C,0)</f>
        <v>0.2</v>
      </c>
      <c r="AA90" s="49">
        <f>Table1[[#This Row],[Target Coverage]]*Table1[[#This Row],[2026 - PiN]]</f>
        <v>5298.2000000000007</v>
      </c>
      <c r="AB90" s="49">
        <f>IFERROR(Table1[[#This Row],[Target Coverage]]*Table1[[#This Row],[ IDPs ]],0)</f>
        <v>2823.6000000000004</v>
      </c>
      <c r="AC90" s="49">
        <f>IFERROR(Table1[[#This Row],[Target Coverage]]*Table1[[#This Row],[ Returnees ]],0)</f>
        <v>0</v>
      </c>
      <c r="AD90" s="49">
        <f>IFERROR(Table1[[#This Row],[Target Coverage]]*Table1[[#This Row],[ Refugees in Sudan ]],0)</f>
        <v>2474.6000000000004</v>
      </c>
    </row>
    <row r="91" spans="1:30" x14ac:dyDescent="0.25">
      <c r="A91" s="1" t="s">
        <v>190</v>
      </c>
      <c r="B91" s="6" t="s">
        <v>191</v>
      </c>
      <c r="C91" s="1" t="s">
        <v>192</v>
      </c>
      <c r="D91" s="2">
        <v>99513</v>
      </c>
      <c r="E91" s="2">
        <v>95915</v>
      </c>
      <c r="F91" s="1" t="s">
        <v>24</v>
      </c>
      <c r="G91" s="12">
        <f>SUM(Table1[[#This Row],[ IDPs ]:[ Refugees in Sudan ]])</f>
        <v>195428</v>
      </c>
      <c r="H91" s="31">
        <v>4</v>
      </c>
      <c r="I91" s="12">
        <v>38527</v>
      </c>
      <c r="J91" s="4" t="s">
        <v>410</v>
      </c>
      <c r="K9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91" s="4"/>
      <c r="M91" s="4"/>
      <c r="N91" s="4"/>
      <c r="O91" s="4"/>
      <c r="P91" s="4">
        <f>MAX(Table1[[#This Row],['#Protection Partners]:['# MA Partners]])</f>
        <v>0</v>
      </c>
      <c r="Q91" s="35">
        <f>IF(Table1[[#This Row],[OVERALL PARTNERS]]&lt;=0,1,IF(Table1[[#This Row],[OVERALL PARTNERS]]&lt;6,0.5,IF(Table1[[#This Row],[OVERALL PARTNERS]]&lt;10,0,0)))</f>
        <v>1</v>
      </c>
      <c r="R91" s="4"/>
      <c r="S91" s="4"/>
      <c r="T91" s="4"/>
      <c r="U91" s="4"/>
      <c r="V91" s="13">
        <f>MAX(Table1[[#This Row],[People Reached Protection]:[People Reached MA]])/Table1[[#This Row],[2025 - Targets]]</f>
        <v>0</v>
      </c>
      <c r="W91" s="34">
        <f>IF(Table1[[#This Row],[OVERALL REACHED]]&gt;50%,0,IF(Table1[[#This Row],[OVERALL REACHED]]&gt;0%,1,2))</f>
        <v>2</v>
      </c>
      <c r="X91" s="37">
        <f>SUM(Table1[[#This Row],[ACCESS SCORE]],Table1[[#This Row],[PARTNER PRESENCE SCORE]],Table1[[#This Row],[''Neglected'' LOCATION SCORE (REACHED)]])</f>
        <v>6</v>
      </c>
      <c r="Y9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91" s="13" cm="1">
        <f t="array" ref="Z91">_xlfn.XLOOKUP(Table1[[#This Row],[2026 - Final Severity of Needs]]&amp;Table1[[#This Row],[Priority]],'2. Lookup'!A:A&amp;'2. Lookup'!B:B,'2. Lookup'!C:C,0)</f>
        <v>0.4</v>
      </c>
      <c r="AA91" s="49">
        <f>Table1[[#This Row],[Target Coverage]]*Table1[[#This Row],[2026 - PiN]]</f>
        <v>78171.199999999997</v>
      </c>
      <c r="AB91" s="49">
        <f>IFERROR(Table1[[#This Row],[Target Coverage]]*Table1[[#This Row],[ IDPs ]],0)</f>
        <v>39805.200000000004</v>
      </c>
      <c r="AC91" s="49">
        <f>IFERROR(Table1[[#This Row],[Target Coverage]]*Table1[[#This Row],[ Returnees ]],0)</f>
        <v>38366</v>
      </c>
      <c r="AD91" s="49">
        <f>IFERROR(Table1[[#This Row],[Target Coverage]]*Table1[[#This Row],[ Refugees in Sudan ]],0)</f>
        <v>0</v>
      </c>
    </row>
    <row r="92" spans="1:30" x14ac:dyDescent="0.25">
      <c r="A92" s="3" t="s">
        <v>190</v>
      </c>
      <c r="B92" s="3" t="s">
        <v>193</v>
      </c>
      <c r="C92" s="3" t="s">
        <v>194</v>
      </c>
      <c r="D92" s="4">
        <v>131126</v>
      </c>
      <c r="E92" s="3">
        <v>350</v>
      </c>
      <c r="F92" s="3">
        <v>386</v>
      </c>
      <c r="G92" s="4">
        <f>SUM(Table1[[#This Row],[ IDPs ]:[ Refugees in Sudan ]])</f>
        <v>131862</v>
      </c>
      <c r="H92" s="29">
        <v>4</v>
      </c>
      <c r="I92" s="4">
        <v>137554</v>
      </c>
      <c r="J92" s="4" t="s">
        <v>412</v>
      </c>
      <c r="K9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92" s="4"/>
      <c r="M92" s="4"/>
      <c r="N92" s="4"/>
      <c r="O92" s="4"/>
      <c r="P92" s="4">
        <f>MAX(Table1[[#This Row],['#Protection Partners]:['# MA Partners]])</f>
        <v>0</v>
      </c>
      <c r="Q92" s="35">
        <f>IF(Table1[[#This Row],[OVERALL PARTNERS]]&lt;=0,1,IF(Table1[[#This Row],[OVERALL PARTNERS]]&lt;6,0.5,IF(Table1[[#This Row],[OVERALL PARTNERS]]&lt;10,0,0)))</f>
        <v>1</v>
      </c>
      <c r="R92" s="4"/>
      <c r="S92" s="4"/>
      <c r="T92" s="4"/>
      <c r="U92" s="4"/>
      <c r="V92" s="13">
        <f>MAX(Table1[[#This Row],[People Reached Protection]:[People Reached MA]])/Table1[[#This Row],[2025 - Targets]]</f>
        <v>0</v>
      </c>
      <c r="W92" s="34">
        <f>IF(Table1[[#This Row],[OVERALL REACHED]]&gt;50%,0,IF(Table1[[#This Row],[OVERALL REACHED]]&gt;0%,1,2))</f>
        <v>2</v>
      </c>
      <c r="X92" s="37">
        <f>SUM(Table1[[#This Row],[ACCESS SCORE]],Table1[[#This Row],[PARTNER PRESENCE SCORE]],Table1[[#This Row],[''Neglected'' LOCATION SCORE (REACHED)]])</f>
        <v>7</v>
      </c>
      <c r="Y9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92" s="13" cm="1">
        <f t="array" ref="Z92">_xlfn.XLOOKUP(Table1[[#This Row],[2026 - Final Severity of Needs]]&amp;Table1[[#This Row],[Priority]],'2. Lookup'!A:A&amp;'2. Lookup'!B:B,'2. Lookup'!C:C,0)</f>
        <v>0.4</v>
      </c>
      <c r="AA92" s="49">
        <f>Table1[[#This Row],[Target Coverage]]*Table1[[#This Row],[2026 - PiN]]</f>
        <v>52744.800000000003</v>
      </c>
      <c r="AB92" s="49">
        <f>IFERROR(Table1[[#This Row],[Target Coverage]]*Table1[[#This Row],[ IDPs ]],0)</f>
        <v>52450.400000000001</v>
      </c>
      <c r="AC92" s="49">
        <f>IFERROR(Table1[[#This Row],[Target Coverage]]*Table1[[#This Row],[ Returnees ]],0)</f>
        <v>140</v>
      </c>
      <c r="AD92" s="49">
        <f>IFERROR(Table1[[#This Row],[Target Coverage]]*Table1[[#This Row],[ Refugees in Sudan ]],0)</f>
        <v>154.4</v>
      </c>
    </row>
    <row r="93" spans="1:30" x14ac:dyDescent="0.25">
      <c r="A93" s="1" t="s">
        <v>190</v>
      </c>
      <c r="B93" s="1" t="s">
        <v>195</v>
      </c>
      <c r="C93" s="1" t="s">
        <v>196</v>
      </c>
      <c r="D93" s="2">
        <v>22365</v>
      </c>
      <c r="E93" s="1" t="s">
        <v>23</v>
      </c>
      <c r="F93" s="1" t="s">
        <v>24</v>
      </c>
      <c r="G93" s="2">
        <f>SUM(Table1[[#This Row],[ IDPs ]:[ Refugees in Sudan ]])</f>
        <v>22365</v>
      </c>
      <c r="H93" s="30">
        <v>4</v>
      </c>
      <c r="I93" s="2">
        <v>26813</v>
      </c>
      <c r="J93" s="4" t="s">
        <v>410</v>
      </c>
      <c r="K9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93" s="4"/>
      <c r="M93" s="4"/>
      <c r="N93" s="4"/>
      <c r="O93" s="4"/>
      <c r="P93" s="4">
        <f>MAX(Table1[[#This Row],['#Protection Partners]:['# MA Partners]])</f>
        <v>0</v>
      </c>
      <c r="Q93" s="35">
        <f>IF(Table1[[#This Row],[OVERALL PARTNERS]]&lt;=0,1,IF(Table1[[#This Row],[OVERALL PARTNERS]]&lt;6,0.5,IF(Table1[[#This Row],[OVERALL PARTNERS]]&lt;10,0,0)))</f>
        <v>1</v>
      </c>
      <c r="R93" s="4"/>
      <c r="S93" s="4"/>
      <c r="T93" s="4"/>
      <c r="U93" s="4"/>
      <c r="V93" s="13">
        <f>MAX(Table1[[#This Row],[People Reached Protection]:[People Reached MA]])/Table1[[#This Row],[2025 - Targets]]</f>
        <v>0</v>
      </c>
      <c r="W93" s="34">
        <f>IF(Table1[[#This Row],[OVERALL REACHED]]&gt;50%,0,IF(Table1[[#This Row],[OVERALL REACHED]]&gt;0%,1,2))</f>
        <v>2</v>
      </c>
      <c r="X93" s="37">
        <f>SUM(Table1[[#This Row],[ACCESS SCORE]],Table1[[#This Row],[PARTNER PRESENCE SCORE]],Table1[[#This Row],[''Neglected'' LOCATION SCORE (REACHED)]])</f>
        <v>6</v>
      </c>
      <c r="Y9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93" s="13" cm="1">
        <f t="array" ref="Z93">_xlfn.XLOOKUP(Table1[[#This Row],[2026 - Final Severity of Needs]]&amp;Table1[[#This Row],[Priority]],'2. Lookup'!A:A&amp;'2. Lookup'!B:B,'2. Lookup'!C:C,0)</f>
        <v>0.4</v>
      </c>
      <c r="AA93" s="49">
        <f>Table1[[#This Row],[Target Coverage]]*Table1[[#This Row],[2026 - PiN]]</f>
        <v>8946</v>
      </c>
      <c r="AB93" s="49">
        <f>IFERROR(Table1[[#This Row],[Target Coverage]]*Table1[[#This Row],[ IDPs ]],0)</f>
        <v>8946</v>
      </c>
      <c r="AC93" s="49">
        <f>IFERROR(Table1[[#This Row],[Target Coverage]]*Table1[[#This Row],[ Returnees ]],0)</f>
        <v>0</v>
      </c>
      <c r="AD93" s="49">
        <f>IFERROR(Table1[[#This Row],[Target Coverage]]*Table1[[#This Row],[ Refugees in Sudan ]],0)</f>
        <v>0</v>
      </c>
    </row>
    <row r="94" spans="1:30" x14ac:dyDescent="0.25">
      <c r="A94" s="3" t="s">
        <v>190</v>
      </c>
      <c r="B94" s="3" t="s">
        <v>197</v>
      </c>
      <c r="C94" s="3" t="s">
        <v>198</v>
      </c>
      <c r="D94" s="4">
        <v>49265</v>
      </c>
      <c r="E94" s="3" t="s">
        <v>23</v>
      </c>
      <c r="F94" s="3" t="s">
        <v>24</v>
      </c>
      <c r="G94" s="4">
        <f>SUM(Table1[[#This Row],[ IDPs ]:[ Refugees in Sudan ]])</f>
        <v>49265</v>
      </c>
      <c r="H94" s="29">
        <v>2</v>
      </c>
      <c r="I94" s="4">
        <v>43304</v>
      </c>
      <c r="J94" s="4" t="s">
        <v>412</v>
      </c>
      <c r="K9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94" s="4"/>
      <c r="M94" s="4"/>
      <c r="N94" s="4"/>
      <c r="O94" s="4"/>
      <c r="P94" s="4">
        <f>MAX(Table1[[#This Row],['#Protection Partners]:['# MA Partners]])</f>
        <v>0</v>
      </c>
      <c r="Q94" s="35">
        <f>IF(Table1[[#This Row],[OVERALL PARTNERS]]&lt;=0,1,IF(Table1[[#This Row],[OVERALL PARTNERS]]&lt;6,0.5,IF(Table1[[#This Row],[OVERALL PARTNERS]]&lt;10,0,0)))</f>
        <v>1</v>
      </c>
      <c r="R94" s="4"/>
      <c r="S94" s="4"/>
      <c r="T94" s="4"/>
      <c r="U94" s="4"/>
      <c r="V94" s="13">
        <f>MAX(Table1[[#This Row],[People Reached Protection]:[People Reached MA]])/Table1[[#This Row],[2025 - Targets]]</f>
        <v>0</v>
      </c>
      <c r="W94" s="34">
        <f>IF(Table1[[#This Row],[OVERALL REACHED]]&gt;50%,0,IF(Table1[[#This Row],[OVERALL REACHED]]&gt;0%,1,2))</f>
        <v>2</v>
      </c>
      <c r="X94" s="37">
        <f>SUM(Table1[[#This Row],[ACCESS SCORE]],Table1[[#This Row],[PARTNER PRESENCE SCORE]],Table1[[#This Row],[''Neglected'' LOCATION SCORE (REACHED)]])</f>
        <v>7</v>
      </c>
      <c r="Y9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94" s="13" cm="1">
        <f t="array" ref="Z94">_xlfn.XLOOKUP(Table1[[#This Row],[2026 - Final Severity of Needs]]&amp;Table1[[#This Row],[Priority]],'2. Lookup'!A:A&amp;'2. Lookup'!B:B,'2. Lookup'!C:C,0)</f>
        <v>0</v>
      </c>
      <c r="AA94" s="49">
        <f>Table1[[#This Row],[Target Coverage]]*Table1[[#This Row],[2026 - PiN]]</f>
        <v>0</v>
      </c>
      <c r="AB94" s="49">
        <f>IFERROR(Table1[[#This Row],[Target Coverage]]*Table1[[#This Row],[ IDPs ]],0)</f>
        <v>0</v>
      </c>
      <c r="AC94" s="49">
        <f>IFERROR(Table1[[#This Row],[Target Coverage]]*Table1[[#This Row],[ Returnees ]],0)</f>
        <v>0</v>
      </c>
      <c r="AD94" s="49">
        <f>IFERROR(Table1[[#This Row],[Target Coverage]]*Table1[[#This Row],[ Refugees in Sudan ]],0)</f>
        <v>0</v>
      </c>
    </row>
    <row r="95" spans="1:30" x14ac:dyDescent="0.25">
      <c r="A95" s="1" t="s">
        <v>190</v>
      </c>
      <c r="B95" s="6" t="s">
        <v>199</v>
      </c>
      <c r="C95" s="1" t="s">
        <v>200</v>
      </c>
      <c r="D95" s="2">
        <v>21475</v>
      </c>
      <c r="E95" s="2">
        <v>45170</v>
      </c>
      <c r="F95" s="1" t="s">
        <v>24</v>
      </c>
      <c r="G95" s="12">
        <f>SUM(Table1[[#This Row],[ IDPs ]:[ Refugees in Sudan ]])</f>
        <v>66645</v>
      </c>
      <c r="H95" s="31">
        <v>4</v>
      </c>
      <c r="I95" s="12">
        <v>29908</v>
      </c>
      <c r="J95" s="4" t="s">
        <v>412</v>
      </c>
      <c r="K9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95" s="4"/>
      <c r="M95" s="4"/>
      <c r="N95" s="4"/>
      <c r="O95" s="4"/>
      <c r="P95" s="4">
        <f>MAX(Table1[[#This Row],['#Protection Partners]:['# MA Partners]])</f>
        <v>0</v>
      </c>
      <c r="Q95" s="35">
        <f>IF(Table1[[#This Row],[OVERALL PARTNERS]]&lt;=0,1,IF(Table1[[#This Row],[OVERALL PARTNERS]]&lt;6,0.5,IF(Table1[[#This Row],[OVERALL PARTNERS]]&lt;10,0,0)))</f>
        <v>1</v>
      </c>
      <c r="R95" s="4"/>
      <c r="S95" s="4"/>
      <c r="T95" s="4"/>
      <c r="U95" s="4"/>
      <c r="V95" s="13">
        <f>MAX(Table1[[#This Row],[People Reached Protection]:[People Reached MA]])/Table1[[#This Row],[2025 - Targets]]</f>
        <v>0</v>
      </c>
      <c r="W95" s="34">
        <f>IF(Table1[[#This Row],[OVERALL REACHED]]&gt;50%,0,IF(Table1[[#This Row],[OVERALL REACHED]]&gt;0%,1,2))</f>
        <v>2</v>
      </c>
      <c r="X95" s="37">
        <f>SUM(Table1[[#This Row],[ACCESS SCORE]],Table1[[#This Row],[PARTNER PRESENCE SCORE]],Table1[[#This Row],[''Neglected'' LOCATION SCORE (REACHED)]])</f>
        <v>7</v>
      </c>
      <c r="Y9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95" s="13" cm="1">
        <f t="array" ref="Z95">_xlfn.XLOOKUP(Table1[[#This Row],[2026 - Final Severity of Needs]]&amp;Table1[[#This Row],[Priority]],'2. Lookup'!A:A&amp;'2. Lookup'!B:B,'2. Lookup'!C:C,0)</f>
        <v>0.4</v>
      </c>
      <c r="AA95" s="49">
        <f>Table1[[#This Row],[Target Coverage]]*Table1[[#This Row],[2026 - PiN]]</f>
        <v>26658</v>
      </c>
      <c r="AB95" s="49">
        <f>IFERROR(Table1[[#This Row],[Target Coverage]]*Table1[[#This Row],[ IDPs ]],0)</f>
        <v>8590</v>
      </c>
      <c r="AC95" s="49">
        <f>IFERROR(Table1[[#This Row],[Target Coverage]]*Table1[[#This Row],[ Returnees ]],0)</f>
        <v>18068</v>
      </c>
      <c r="AD95" s="49">
        <f>IFERROR(Table1[[#This Row],[Target Coverage]]*Table1[[#This Row],[ Refugees in Sudan ]],0)</f>
        <v>0</v>
      </c>
    </row>
    <row r="96" spans="1:30" x14ac:dyDescent="0.25">
      <c r="A96" s="3" t="s">
        <v>190</v>
      </c>
      <c r="B96" s="3" t="s">
        <v>201</v>
      </c>
      <c r="C96" s="3" t="s">
        <v>202</v>
      </c>
      <c r="D96" s="4">
        <v>46655</v>
      </c>
      <c r="E96" s="3" t="s">
        <v>23</v>
      </c>
      <c r="F96" s="3" t="s">
        <v>24</v>
      </c>
      <c r="G96" s="4">
        <f>SUM(Table1[[#This Row],[ IDPs ]:[ Refugees in Sudan ]])</f>
        <v>46655</v>
      </c>
      <c r="H96" s="29">
        <v>3</v>
      </c>
      <c r="I96" s="4">
        <v>37341</v>
      </c>
      <c r="J96" s="4" t="s">
        <v>415</v>
      </c>
      <c r="K9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96" s="4"/>
      <c r="M96" s="4"/>
      <c r="N96" s="4"/>
      <c r="O96" s="4"/>
      <c r="P96" s="4">
        <f>MAX(Table1[[#This Row],['#Protection Partners]:['# MA Partners]])</f>
        <v>0</v>
      </c>
      <c r="Q96" s="35">
        <f>IF(Table1[[#This Row],[OVERALL PARTNERS]]&lt;=0,1,IF(Table1[[#This Row],[OVERALL PARTNERS]]&lt;6,0.5,IF(Table1[[#This Row],[OVERALL PARTNERS]]&lt;10,0,0)))</f>
        <v>1</v>
      </c>
      <c r="R96" s="4"/>
      <c r="S96" s="4"/>
      <c r="T96" s="4"/>
      <c r="U96" s="4"/>
      <c r="V96" s="13">
        <f>MAX(Table1[[#This Row],[People Reached Protection]:[People Reached MA]])/Table1[[#This Row],[2025 - Targets]]</f>
        <v>0</v>
      </c>
      <c r="W96" s="34">
        <f>IF(Table1[[#This Row],[OVERALL REACHED]]&gt;50%,0,IF(Table1[[#This Row],[OVERALL REACHED]]&gt;0%,1,2))</f>
        <v>2</v>
      </c>
      <c r="X96" s="37">
        <f>SUM(Table1[[#This Row],[ACCESS SCORE]],Table1[[#This Row],[PARTNER PRESENCE SCORE]],Table1[[#This Row],[''Neglected'' LOCATION SCORE (REACHED)]])</f>
        <v>8</v>
      </c>
      <c r="Y9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96" s="13" cm="1">
        <f t="array" ref="Z96">_xlfn.XLOOKUP(Table1[[#This Row],[2026 - Final Severity of Needs]]&amp;Table1[[#This Row],[Priority]],'2. Lookup'!A:A&amp;'2. Lookup'!B:B,'2. Lookup'!C:C,0)</f>
        <v>0.4</v>
      </c>
      <c r="AA96" s="49">
        <f>Table1[[#This Row],[Target Coverage]]*Table1[[#This Row],[2026 - PiN]]</f>
        <v>18662</v>
      </c>
      <c r="AB96" s="49">
        <f>IFERROR(Table1[[#This Row],[Target Coverage]]*Table1[[#This Row],[ IDPs ]],0)</f>
        <v>18662</v>
      </c>
      <c r="AC96" s="49">
        <f>IFERROR(Table1[[#This Row],[Target Coverage]]*Table1[[#This Row],[ Returnees ]],0)</f>
        <v>0</v>
      </c>
      <c r="AD96" s="49">
        <f>IFERROR(Table1[[#This Row],[Target Coverage]]*Table1[[#This Row],[ Refugees in Sudan ]],0)</f>
        <v>0</v>
      </c>
    </row>
    <row r="97" spans="1:30" x14ac:dyDescent="0.25">
      <c r="A97" s="1" t="s">
        <v>190</v>
      </c>
      <c r="B97" s="1" t="s">
        <v>203</v>
      </c>
      <c r="C97" s="1" t="s">
        <v>204</v>
      </c>
      <c r="D97" s="2">
        <v>10456</v>
      </c>
      <c r="E97" s="1" t="s">
        <v>23</v>
      </c>
      <c r="F97" s="2">
        <v>12045</v>
      </c>
      <c r="G97" s="2">
        <f>SUM(Table1[[#This Row],[ IDPs ]:[ Refugees in Sudan ]])</f>
        <v>22501</v>
      </c>
      <c r="H97" s="30">
        <v>4</v>
      </c>
      <c r="I97" s="2">
        <v>11722</v>
      </c>
      <c r="J97" s="4" t="s">
        <v>412</v>
      </c>
      <c r="K9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97" s="4"/>
      <c r="M97" s="4"/>
      <c r="N97" s="4"/>
      <c r="O97" s="4"/>
      <c r="P97" s="4">
        <f>MAX(Table1[[#This Row],['#Protection Partners]:['# MA Partners]])</f>
        <v>0</v>
      </c>
      <c r="Q97" s="35">
        <f>IF(Table1[[#This Row],[OVERALL PARTNERS]]&lt;=0,1,IF(Table1[[#This Row],[OVERALL PARTNERS]]&lt;6,0.5,IF(Table1[[#This Row],[OVERALL PARTNERS]]&lt;10,0,0)))</f>
        <v>1</v>
      </c>
      <c r="R97" s="4"/>
      <c r="S97" s="4"/>
      <c r="T97" s="4"/>
      <c r="U97" s="4"/>
      <c r="V97" s="13">
        <f>MAX(Table1[[#This Row],[People Reached Protection]:[People Reached MA]])/Table1[[#This Row],[2025 - Targets]]</f>
        <v>0</v>
      </c>
      <c r="W97" s="34">
        <f>IF(Table1[[#This Row],[OVERALL REACHED]]&gt;50%,0,IF(Table1[[#This Row],[OVERALL REACHED]]&gt;0%,1,2))</f>
        <v>2</v>
      </c>
      <c r="X97" s="37">
        <f>SUM(Table1[[#This Row],[ACCESS SCORE]],Table1[[#This Row],[PARTNER PRESENCE SCORE]],Table1[[#This Row],[''Neglected'' LOCATION SCORE (REACHED)]])</f>
        <v>7</v>
      </c>
      <c r="Y9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97" s="13" cm="1">
        <f t="array" ref="Z97">_xlfn.XLOOKUP(Table1[[#This Row],[2026 - Final Severity of Needs]]&amp;Table1[[#This Row],[Priority]],'2. Lookup'!A:A&amp;'2. Lookup'!B:B,'2. Lookup'!C:C,0)</f>
        <v>0.4</v>
      </c>
      <c r="AA97" s="49">
        <f>Table1[[#This Row],[Target Coverage]]*Table1[[#This Row],[2026 - PiN]]</f>
        <v>9000.4</v>
      </c>
      <c r="AB97" s="49">
        <f>IFERROR(Table1[[#This Row],[Target Coverage]]*Table1[[#This Row],[ IDPs ]],0)</f>
        <v>4182.4000000000005</v>
      </c>
      <c r="AC97" s="49">
        <f>IFERROR(Table1[[#This Row],[Target Coverage]]*Table1[[#This Row],[ Returnees ]],0)</f>
        <v>0</v>
      </c>
      <c r="AD97" s="49">
        <f>IFERROR(Table1[[#This Row],[Target Coverage]]*Table1[[#This Row],[ Refugees in Sudan ]],0)</f>
        <v>4818</v>
      </c>
    </row>
    <row r="98" spans="1:30" x14ac:dyDescent="0.25">
      <c r="A98" s="3" t="s">
        <v>205</v>
      </c>
      <c r="B98" s="3" t="s">
        <v>206</v>
      </c>
      <c r="C98" s="3" t="s">
        <v>207</v>
      </c>
      <c r="D98" s="4">
        <v>67278</v>
      </c>
      <c r="E98" s="3">
        <v>600</v>
      </c>
      <c r="F98" s="3">
        <v>9</v>
      </c>
      <c r="G98" s="4">
        <f>SUM(Table1[[#This Row],[ IDPs ]:[ Refugees in Sudan ]])</f>
        <v>67887</v>
      </c>
      <c r="H98" s="29">
        <v>3</v>
      </c>
      <c r="I98" s="4">
        <v>155219</v>
      </c>
      <c r="J98" s="4" t="s">
        <v>410</v>
      </c>
      <c r="K9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98" s="4"/>
      <c r="M98" s="4"/>
      <c r="N98" s="4"/>
      <c r="O98" s="4"/>
      <c r="P98" s="4">
        <f>MAX(Table1[[#This Row],['#Protection Partners]:['# MA Partners]])</f>
        <v>0</v>
      </c>
      <c r="Q98" s="35">
        <f>IF(Table1[[#This Row],[OVERALL PARTNERS]]&lt;=0,1,IF(Table1[[#This Row],[OVERALL PARTNERS]]&lt;6,0.5,IF(Table1[[#This Row],[OVERALL PARTNERS]]&lt;10,0,0)))</f>
        <v>1</v>
      </c>
      <c r="R98" s="4"/>
      <c r="S98" s="4"/>
      <c r="T98" s="4"/>
      <c r="U98" s="4"/>
      <c r="V98" s="13">
        <f>MAX(Table1[[#This Row],[People Reached Protection]:[People Reached MA]])/Table1[[#This Row],[2025 - Targets]]</f>
        <v>0</v>
      </c>
      <c r="W98" s="34">
        <f>IF(Table1[[#This Row],[OVERALL REACHED]]&gt;50%,0,IF(Table1[[#This Row],[OVERALL REACHED]]&gt;0%,1,2))</f>
        <v>2</v>
      </c>
      <c r="X98" s="37">
        <f>SUM(Table1[[#This Row],[ACCESS SCORE]],Table1[[#This Row],[PARTNER PRESENCE SCORE]],Table1[[#This Row],[''Neglected'' LOCATION SCORE (REACHED)]])</f>
        <v>6</v>
      </c>
      <c r="Y9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98" s="13" cm="1">
        <f t="array" ref="Z98">_xlfn.XLOOKUP(Table1[[#This Row],[2026 - Final Severity of Needs]]&amp;Table1[[#This Row],[Priority]],'2. Lookup'!A:A&amp;'2. Lookup'!B:B,'2. Lookup'!C:C,0)</f>
        <v>0.2</v>
      </c>
      <c r="AA98" s="49">
        <f>Table1[[#This Row],[Target Coverage]]*Table1[[#This Row],[2026 - PiN]]</f>
        <v>13577.400000000001</v>
      </c>
      <c r="AB98" s="49">
        <f>IFERROR(Table1[[#This Row],[Target Coverage]]*Table1[[#This Row],[ IDPs ]],0)</f>
        <v>13455.6</v>
      </c>
      <c r="AC98" s="49">
        <f>IFERROR(Table1[[#This Row],[Target Coverage]]*Table1[[#This Row],[ Returnees ]],0)</f>
        <v>120</v>
      </c>
      <c r="AD98" s="49">
        <f>IFERROR(Table1[[#This Row],[Target Coverage]]*Table1[[#This Row],[ Refugees in Sudan ]],0)</f>
        <v>1.8</v>
      </c>
    </row>
    <row r="99" spans="1:30" x14ac:dyDescent="0.25">
      <c r="A99" s="1" t="s">
        <v>205</v>
      </c>
      <c r="B99" s="1" t="s">
        <v>208</v>
      </c>
      <c r="C99" s="1" t="s">
        <v>209</v>
      </c>
      <c r="D99" s="2">
        <v>4085</v>
      </c>
      <c r="E99" s="2">
        <v>25250</v>
      </c>
      <c r="F99" s="1" t="s">
        <v>24</v>
      </c>
      <c r="G99" s="2">
        <f>SUM(Table1[[#This Row],[ IDPs ]:[ Refugees in Sudan ]])</f>
        <v>29335</v>
      </c>
      <c r="H99" s="30">
        <v>4</v>
      </c>
      <c r="I99" s="2">
        <v>42718</v>
      </c>
      <c r="J99" s="4" t="s">
        <v>411</v>
      </c>
      <c r="K9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99" s="4"/>
      <c r="M99" s="4"/>
      <c r="N99" s="4"/>
      <c r="O99" s="4"/>
      <c r="P99" s="4">
        <f>MAX(Table1[[#This Row],['#Protection Partners]:['# MA Partners]])</f>
        <v>0</v>
      </c>
      <c r="Q99" s="35">
        <f>IF(Table1[[#This Row],[OVERALL PARTNERS]]&lt;=0,1,IF(Table1[[#This Row],[OVERALL PARTNERS]]&lt;6,0.5,IF(Table1[[#This Row],[OVERALL PARTNERS]]&lt;10,0,0)))</f>
        <v>1</v>
      </c>
      <c r="R99" s="4"/>
      <c r="S99" s="4"/>
      <c r="T99" s="4"/>
      <c r="U99" s="4"/>
      <c r="V99" s="13">
        <f>MAX(Table1[[#This Row],[People Reached Protection]:[People Reached MA]])/Table1[[#This Row],[2025 - Targets]]</f>
        <v>0</v>
      </c>
      <c r="W99" s="34">
        <f>IF(Table1[[#This Row],[OVERALL REACHED]]&gt;50%,0,IF(Table1[[#This Row],[OVERALL REACHED]]&gt;0%,1,2))</f>
        <v>2</v>
      </c>
      <c r="X99" s="37">
        <f>SUM(Table1[[#This Row],[ACCESS SCORE]],Table1[[#This Row],[PARTNER PRESENCE SCORE]],Table1[[#This Row],[''Neglected'' LOCATION SCORE (REACHED)]])</f>
        <v>5</v>
      </c>
      <c r="Y9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99" s="13" cm="1">
        <f t="array" ref="Z99">_xlfn.XLOOKUP(Table1[[#This Row],[2026 - Final Severity of Needs]]&amp;Table1[[#This Row],[Priority]],'2. Lookup'!A:A&amp;'2. Lookup'!B:B,'2. Lookup'!C:C,0)</f>
        <v>0.2</v>
      </c>
      <c r="AA99" s="49">
        <f>Table1[[#This Row],[Target Coverage]]*Table1[[#This Row],[2026 - PiN]]</f>
        <v>5867</v>
      </c>
      <c r="AB99" s="49">
        <f>IFERROR(Table1[[#This Row],[Target Coverage]]*Table1[[#This Row],[ IDPs ]],0)</f>
        <v>817</v>
      </c>
      <c r="AC99" s="49">
        <f>IFERROR(Table1[[#This Row],[Target Coverage]]*Table1[[#This Row],[ Returnees ]],0)</f>
        <v>5050</v>
      </c>
      <c r="AD99" s="49">
        <f>IFERROR(Table1[[#This Row],[Target Coverage]]*Table1[[#This Row],[ Refugees in Sudan ]],0)</f>
        <v>0</v>
      </c>
    </row>
    <row r="100" spans="1:30" x14ac:dyDescent="0.25">
      <c r="A100" s="3" t="s">
        <v>205</v>
      </c>
      <c r="B100" s="3" t="s">
        <v>210</v>
      </c>
      <c r="C100" s="3" t="s">
        <v>211</v>
      </c>
      <c r="D100" s="4">
        <v>109822</v>
      </c>
      <c r="E100" s="3">
        <v>813</v>
      </c>
      <c r="F100" s="3" t="s">
        <v>24</v>
      </c>
      <c r="G100" s="4">
        <f>SUM(Table1[[#This Row],[ IDPs ]:[ Refugees in Sudan ]])</f>
        <v>110635</v>
      </c>
      <c r="H100" s="29">
        <v>3</v>
      </c>
      <c r="I100" s="4">
        <v>191231</v>
      </c>
      <c r="J100" s="4" t="s">
        <v>412</v>
      </c>
      <c r="K10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00" s="4"/>
      <c r="M100" s="4"/>
      <c r="N100" s="4"/>
      <c r="O100" s="4"/>
      <c r="P100" s="4">
        <f>MAX(Table1[[#This Row],['#Protection Partners]:['# MA Partners]])</f>
        <v>0</v>
      </c>
      <c r="Q100" s="35">
        <f>IF(Table1[[#This Row],[OVERALL PARTNERS]]&lt;=0,1,IF(Table1[[#This Row],[OVERALL PARTNERS]]&lt;6,0.5,IF(Table1[[#This Row],[OVERALL PARTNERS]]&lt;10,0,0)))</f>
        <v>1</v>
      </c>
      <c r="R100" s="4"/>
      <c r="S100" s="4"/>
      <c r="T100" s="4"/>
      <c r="U100" s="4"/>
      <c r="V100" s="13">
        <f>MAX(Table1[[#This Row],[People Reached Protection]:[People Reached MA]])/Table1[[#This Row],[2025 - Targets]]</f>
        <v>0</v>
      </c>
      <c r="W100" s="34">
        <f>IF(Table1[[#This Row],[OVERALL REACHED]]&gt;50%,0,IF(Table1[[#This Row],[OVERALL REACHED]]&gt;0%,1,2))</f>
        <v>2</v>
      </c>
      <c r="X100" s="37">
        <f>SUM(Table1[[#This Row],[ACCESS SCORE]],Table1[[#This Row],[PARTNER PRESENCE SCORE]],Table1[[#This Row],[''Neglected'' LOCATION SCORE (REACHED)]])</f>
        <v>7</v>
      </c>
      <c r="Y10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0" s="13" cm="1">
        <f t="array" ref="Z100">_xlfn.XLOOKUP(Table1[[#This Row],[2026 - Final Severity of Needs]]&amp;Table1[[#This Row],[Priority]],'2. Lookup'!A:A&amp;'2. Lookup'!B:B,'2. Lookup'!C:C,0)</f>
        <v>0.2</v>
      </c>
      <c r="AA100" s="49">
        <f>Table1[[#This Row],[Target Coverage]]*Table1[[#This Row],[2026 - PiN]]</f>
        <v>22127</v>
      </c>
      <c r="AB100" s="49">
        <f>IFERROR(Table1[[#This Row],[Target Coverage]]*Table1[[#This Row],[ IDPs ]],0)</f>
        <v>21964.400000000001</v>
      </c>
      <c r="AC100" s="49">
        <f>IFERROR(Table1[[#This Row],[Target Coverage]]*Table1[[#This Row],[ Returnees ]],0)</f>
        <v>162.60000000000002</v>
      </c>
      <c r="AD100" s="49">
        <f>IFERROR(Table1[[#This Row],[Target Coverage]]*Table1[[#This Row],[ Refugees in Sudan ]],0)</f>
        <v>0</v>
      </c>
    </row>
    <row r="101" spans="1:30" x14ac:dyDescent="0.25">
      <c r="A101" s="1" t="s">
        <v>205</v>
      </c>
      <c r="B101" s="1" t="s">
        <v>212</v>
      </c>
      <c r="C101" s="1" t="s">
        <v>213</v>
      </c>
      <c r="D101" s="2">
        <v>130576</v>
      </c>
      <c r="E101" s="2">
        <v>9567</v>
      </c>
      <c r="F101" s="2">
        <v>32874</v>
      </c>
      <c r="G101" s="2">
        <f>SUM(Table1[[#This Row],[ IDPs ]:[ Refugees in Sudan ]])</f>
        <v>173017</v>
      </c>
      <c r="H101" s="30">
        <v>3</v>
      </c>
      <c r="I101" s="2">
        <v>209553</v>
      </c>
      <c r="J101" s="4" t="s">
        <v>410</v>
      </c>
      <c r="K10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01" s="4"/>
      <c r="M101" s="4"/>
      <c r="N101" s="4"/>
      <c r="O101" s="4"/>
      <c r="P101" s="4">
        <f>MAX(Table1[[#This Row],['#Protection Partners]:['# MA Partners]])</f>
        <v>0</v>
      </c>
      <c r="Q101" s="35">
        <f>IF(Table1[[#This Row],[OVERALL PARTNERS]]&lt;=0,1,IF(Table1[[#This Row],[OVERALL PARTNERS]]&lt;6,0.5,IF(Table1[[#This Row],[OVERALL PARTNERS]]&lt;10,0,0)))</f>
        <v>1</v>
      </c>
      <c r="R101" s="4"/>
      <c r="S101" s="4"/>
      <c r="T101" s="4"/>
      <c r="U101" s="4"/>
      <c r="V101" s="13">
        <f>MAX(Table1[[#This Row],[People Reached Protection]:[People Reached MA]])/Table1[[#This Row],[2025 - Targets]]</f>
        <v>0</v>
      </c>
      <c r="W101" s="34">
        <f>IF(Table1[[#This Row],[OVERALL REACHED]]&gt;50%,0,IF(Table1[[#This Row],[OVERALL REACHED]]&gt;0%,1,2))</f>
        <v>2</v>
      </c>
      <c r="X101" s="37">
        <f>SUM(Table1[[#This Row],[ACCESS SCORE]],Table1[[#This Row],[PARTNER PRESENCE SCORE]],Table1[[#This Row],[''Neglected'' LOCATION SCORE (REACHED)]])</f>
        <v>6</v>
      </c>
      <c r="Y10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1" s="13" cm="1">
        <f t="array" ref="Z101">_xlfn.XLOOKUP(Table1[[#This Row],[2026 - Final Severity of Needs]]&amp;Table1[[#This Row],[Priority]],'2. Lookup'!A:A&amp;'2. Lookup'!B:B,'2. Lookup'!C:C,0)</f>
        <v>0.2</v>
      </c>
      <c r="AA101" s="49">
        <f>Table1[[#This Row],[Target Coverage]]*Table1[[#This Row],[2026 - PiN]]</f>
        <v>34603.4</v>
      </c>
      <c r="AB101" s="49">
        <f>IFERROR(Table1[[#This Row],[Target Coverage]]*Table1[[#This Row],[ IDPs ]],0)</f>
        <v>26115.200000000001</v>
      </c>
      <c r="AC101" s="49">
        <f>IFERROR(Table1[[#This Row],[Target Coverage]]*Table1[[#This Row],[ Returnees ]],0)</f>
        <v>1913.4</v>
      </c>
      <c r="AD101" s="49">
        <f>IFERROR(Table1[[#This Row],[Target Coverage]]*Table1[[#This Row],[ Refugees in Sudan ]],0)</f>
        <v>6574.8</v>
      </c>
    </row>
    <row r="102" spans="1:30" x14ac:dyDescent="0.25">
      <c r="A102" s="3" t="s">
        <v>205</v>
      </c>
      <c r="B102" s="3" t="s">
        <v>214</v>
      </c>
      <c r="C102" s="3" t="s">
        <v>215</v>
      </c>
      <c r="D102" s="4">
        <v>14854</v>
      </c>
      <c r="E102" s="3">
        <v>480</v>
      </c>
      <c r="F102" s="3">
        <v>2</v>
      </c>
      <c r="G102" s="4">
        <f>SUM(Table1[[#This Row],[ IDPs ]:[ Refugees in Sudan ]])</f>
        <v>15336</v>
      </c>
      <c r="H102" s="29">
        <v>3</v>
      </c>
      <c r="I102" s="4">
        <v>54815</v>
      </c>
      <c r="J102" s="4" t="s">
        <v>412</v>
      </c>
      <c r="K10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02" s="4"/>
      <c r="M102" s="4"/>
      <c r="N102" s="4"/>
      <c r="O102" s="4"/>
      <c r="P102" s="4">
        <f>MAX(Table1[[#This Row],['#Protection Partners]:['# MA Partners]])</f>
        <v>0</v>
      </c>
      <c r="Q102" s="35">
        <f>IF(Table1[[#This Row],[OVERALL PARTNERS]]&lt;=0,1,IF(Table1[[#This Row],[OVERALL PARTNERS]]&lt;6,0.5,IF(Table1[[#This Row],[OVERALL PARTNERS]]&lt;10,0,0)))</f>
        <v>1</v>
      </c>
      <c r="R102" s="4"/>
      <c r="S102" s="4"/>
      <c r="T102" s="4"/>
      <c r="U102" s="4"/>
      <c r="V102" s="13">
        <f>MAX(Table1[[#This Row],[People Reached Protection]:[People Reached MA]])/Table1[[#This Row],[2025 - Targets]]</f>
        <v>0</v>
      </c>
      <c r="W102" s="34">
        <f>IF(Table1[[#This Row],[OVERALL REACHED]]&gt;50%,0,IF(Table1[[#This Row],[OVERALL REACHED]]&gt;0%,1,2))</f>
        <v>2</v>
      </c>
      <c r="X102" s="37">
        <f>SUM(Table1[[#This Row],[ACCESS SCORE]],Table1[[#This Row],[PARTNER PRESENCE SCORE]],Table1[[#This Row],[''Neglected'' LOCATION SCORE (REACHED)]])</f>
        <v>7</v>
      </c>
      <c r="Y10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2" s="13" cm="1">
        <f t="array" ref="Z102">_xlfn.XLOOKUP(Table1[[#This Row],[2026 - Final Severity of Needs]]&amp;Table1[[#This Row],[Priority]],'2. Lookup'!A:A&amp;'2. Lookup'!B:B,'2. Lookup'!C:C,0)</f>
        <v>0.2</v>
      </c>
      <c r="AA102" s="49">
        <f>Table1[[#This Row],[Target Coverage]]*Table1[[#This Row],[2026 - PiN]]</f>
        <v>3067.2000000000003</v>
      </c>
      <c r="AB102" s="49">
        <f>IFERROR(Table1[[#This Row],[Target Coverage]]*Table1[[#This Row],[ IDPs ]],0)</f>
        <v>2970.8</v>
      </c>
      <c r="AC102" s="49">
        <f>IFERROR(Table1[[#This Row],[Target Coverage]]*Table1[[#This Row],[ Returnees ]],0)</f>
        <v>96</v>
      </c>
      <c r="AD102" s="49">
        <f>IFERROR(Table1[[#This Row],[Target Coverage]]*Table1[[#This Row],[ Refugees in Sudan ]],0)</f>
        <v>0.4</v>
      </c>
    </row>
    <row r="103" spans="1:30" x14ac:dyDescent="0.25">
      <c r="A103" s="1" t="s">
        <v>205</v>
      </c>
      <c r="B103" s="1" t="s">
        <v>216</v>
      </c>
      <c r="C103" s="1" t="s">
        <v>217</v>
      </c>
      <c r="D103" s="2">
        <v>53429</v>
      </c>
      <c r="E103" s="1">
        <v>305</v>
      </c>
      <c r="F103" s="2">
        <v>239061</v>
      </c>
      <c r="G103" s="2">
        <f>SUM(Table1[[#This Row],[ IDPs ]:[ Refugees in Sudan ]])</f>
        <v>292795</v>
      </c>
      <c r="H103" s="30">
        <v>4</v>
      </c>
      <c r="I103" s="2">
        <v>38386</v>
      </c>
      <c r="J103" s="4" t="s">
        <v>412</v>
      </c>
      <c r="K10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03" s="4"/>
      <c r="M103" s="4"/>
      <c r="N103" s="4"/>
      <c r="O103" s="4"/>
      <c r="P103" s="4">
        <f>MAX(Table1[[#This Row],['#Protection Partners]:['# MA Partners]])</f>
        <v>0</v>
      </c>
      <c r="Q103" s="35">
        <f>IF(Table1[[#This Row],[OVERALL PARTNERS]]&lt;=0,1,IF(Table1[[#This Row],[OVERALL PARTNERS]]&lt;6,0.5,IF(Table1[[#This Row],[OVERALL PARTNERS]]&lt;10,0,0)))</f>
        <v>1</v>
      </c>
      <c r="R103" s="4"/>
      <c r="S103" s="4"/>
      <c r="T103" s="4"/>
      <c r="U103" s="4"/>
      <c r="V103" s="13">
        <f>MAX(Table1[[#This Row],[People Reached Protection]:[People Reached MA]])/Table1[[#This Row],[2025 - Targets]]</f>
        <v>0</v>
      </c>
      <c r="W103" s="34">
        <f>IF(Table1[[#This Row],[OVERALL REACHED]]&gt;50%,0,IF(Table1[[#This Row],[OVERALL REACHED]]&gt;0%,1,2))</f>
        <v>2</v>
      </c>
      <c r="X103" s="37">
        <f>SUM(Table1[[#This Row],[ACCESS SCORE]],Table1[[#This Row],[PARTNER PRESENCE SCORE]],Table1[[#This Row],[''Neglected'' LOCATION SCORE (REACHED)]])</f>
        <v>7</v>
      </c>
      <c r="Y10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3" s="13" cm="1">
        <f t="array" ref="Z103">_xlfn.XLOOKUP(Table1[[#This Row],[2026 - Final Severity of Needs]]&amp;Table1[[#This Row],[Priority]],'2. Lookup'!A:A&amp;'2. Lookup'!B:B,'2. Lookup'!C:C,0)</f>
        <v>0.4</v>
      </c>
      <c r="AA103" s="49">
        <f>Table1[[#This Row],[Target Coverage]]*Table1[[#This Row],[2026 - PiN]]</f>
        <v>117118</v>
      </c>
      <c r="AB103" s="49">
        <f>IFERROR(Table1[[#This Row],[Target Coverage]]*Table1[[#This Row],[ IDPs ]],0)</f>
        <v>21371.600000000002</v>
      </c>
      <c r="AC103" s="49">
        <f>IFERROR(Table1[[#This Row],[Target Coverage]]*Table1[[#This Row],[ Returnees ]],0)</f>
        <v>122</v>
      </c>
      <c r="AD103" s="49">
        <f>IFERROR(Table1[[#This Row],[Target Coverage]]*Table1[[#This Row],[ Refugees in Sudan ]],0)</f>
        <v>95624.400000000009</v>
      </c>
    </row>
    <row r="104" spans="1:30" x14ac:dyDescent="0.25">
      <c r="A104" s="3" t="s">
        <v>205</v>
      </c>
      <c r="B104" s="3" t="s">
        <v>218</v>
      </c>
      <c r="C104" s="3" t="s">
        <v>219</v>
      </c>
      <c r="D104" s="4">
        <v>24784</v>
      </c>
      <c r="E104" s="4">
        <v>14480</v>
      </c>
      <c r="F104" s="3">
        <v>2</v>
      </c>
      <c r="G104" s="4">
        <f>SUM(Table1[[#This Row],[ IDPs ]:[ Refugees in Sudan ]])</f>
        <v>39266</v>
      </c>
      <c r="H104" s="29">
        <v>3</v>
      </c>
      <c r="I104" s="4">
        <v>77180</v>
      </c>
      <c r="J104" s="4" t="s">
        <v>412</v>
      </c>
      <c r="K10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04" s="4"/>
      <c r="M104" s="4"/>
      <c r="N104" s="4"/>
      <c r="O104" s="4"/>
      <c r="P104" s="4">
        <f>MAX(Table1[[#This Row],['#Protection Partners]:['# MA Partners]])</f>
        <v>0</v>
      </c>
      <c r="Q104" s="35">
        <f>IF(Table1[[#This Row],[OVERALL PARTNERS]]&lt;=0,1,IF(Table1[[#This Row],[OVERALL PARTNERS]]&lt;6,0.5,IF(Table1[[#This Row],[OVERALL PARTNERS]]&lt;10,0,0)))</f>
        <v>1</v>
      </c>
      <c r="R104" s="4"/>
      <c r="S104" s="4"/>
      <c r="T104" s="4"/>
      <c r="U104" s="4"/>
      <c r="V104" s="13">
        <f>MAX(Table1[[#This Row],[People Reached Protection]:[People Reached MA]])/Table1[[#This Row],[2025 - Targets]]</f>
        <v>0</v>
      </c>
      <c r="W104" s="34">
        <f>IF(Table1[[#This Row],[OVERALL REACHED]]&gt;50%,0,IF(Table1[[#This Row],[OVERALL REACHED]]&gt;0%,1,2))</f>
        <v>2</v>
      </c>
      <c r="X104" s="37">
        <f>SUM(Table1[[#This Row],[ACCESS SCORE]],Table1[[#This Row],[PARTNER PRESENCE SCORE]],Table1[[#This Row],[''Neglected'' LOCATION SCORE (REACHED)]])</f>
        <v>7</v>
      </c>
      <c r="Y10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4" s="13" cm="1">
        <f t="array" ref="Z104">_xlfn.XLOOKUP(Table1[[#This Row],[2026 - Final Severity of Needs]]&amp;Table1[[#This Row],[Priority]],'2. Lookup'!A:A&amp;'2. Lookup'!B:B,'2. Lookup'!C:C,0)</f>
        <v>0.2</v>
      </c>
      <c r="AA104" s="49">
        <f>Table1[[#This Row],[Target Coverage]]*Table1[[#This Row],[2026 - PiN]]</f>
        <v>7853.2000000000007</v>
      </c>
      <c r="AB104" s="49">
        <f>IFERROR(Table1[[#This Row],[Target Coverage]]*Table1[[#This Row],[ IDPs ]],0)</f>
        <v>4956.8</v>
      </c>
      <c r="AC104" s="49">
        <f>IFERROR(Table1[[#This Row],[Target Coverage]]*Table1[[#This Row],[ Returnees ]],0)</f>
        <v>2896</v>
      </c>
      <c r="AD104" s="49">
        <f>IFERROR(Table1[[#This Row],[Target Coverage]]*Table1[[#This Row],[ Refugees in Sudan ]],0)</f>
        <v>0.4</v>
      </c>
    </row>
    <row r="105" spans="1:30" x14ac:dyDescent="0.25">
      <c r="A105" s="1" t="s">
        <v>205</v>
      </c>
      <c r="B105" s="1" t="s">
        <v>220</v>
      </c>
      <c r="C105" s="1" t="s">
        <v>221</v>
      </c>
      <c r="D105" s="2">
        <v>119781</v>
      </c>
      <c r="E105" s="2">
        <v>40765</v>
      </c>
      <c r="F105" s="2">
        <v>142312</v>
      </c>
      <c r="G105" s="2">
        <f>SUM(Table1[[#This Row],[ IDPs ]:[ Refugees in Sudan ]])</f>
        <v>302858</v>
      </c>
      <c r="H105" s="30">
        <v>3</v>
      </c>
      <c r="I105" s="2">
        <v>172453</v>
      </c>
      <c r="J105" s="4" t="s">
        <v>410</v>
      </c>
      <c r="K10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05" s="4"/>
      <c r="M105" s="4"/>
      <c r="N105" s="4"/>
      <c r="O105" s="4"/>
      <c r="P105" s="4">
        <f>MAX(Table1[[#This Row],['#Protection Partners]:['# MA Partners]])</f>
        <v>0</v>
      </c>
      <c r="Q105" s="35">
        <f>IF(Table1[[#This Row],[OVERALL PARTNERS]]&lt;=0,1,IF(Table1[[#This Row],[OVERALL PARTNERS]]&lt;6,0.5,IF(Table1[[#This Row],[OVERALL PARTNERS]]&lt;10,0,0)))</f>
        <v>1</v>
      </c>
      <c r="R105" s="4"/>
      <c r="S105" s="4"/>
      <c r="T105" s="4"/>
      <c r="U105" s="4"/>
      <c r="V105" s="13">
        <f>MAX(Table1[[#This Row],[People Reached Protection]:[People Reached MA]])/Table1[[#This Row],[2025 - Targets]]</f>
        <v>0</v>
      </c>
      <c r="W105" s="34">
        <f>IF(Table1[[#This Row],[OVERALL REACHED]]&gt;50%,0,IF(Table1[[#This Row],[OVERALL REACHED]]&gt;0%,1,2))</f>
        <v>2</v>
      </c>
      <c r="X105" s="37">
        <f>SUM(Table1[[#This Row],[ACCESS SCORE]],Table1[[#This Row],[PARTNER PRESENCE SCORE]],Table1[[#This Row],[''Neglected'' LOCATION SCORE (REACHED)]])</f>
        <v>6</v>
      </c>
      <c r="Y10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5" s="13" cm="1">
        <f t="array" ref="Z105">_xlfn.XLOOKUP(Table1[[#This Row],[2026 - Final Severity of Needs]]&amp;Table1[[#This Row],[Priority]],'2. Lookup'!A:A&amp;'2. Lookup'!B:B,'2. Lookup'!C:C,0)</f>
        <v>0.2</v>
      </c>
      <c r="AA105" s="49">
        <f>Table1[[#This Row],[Target Coverage]]*Table1[[#This Row],[2026 - PiN]]</f>
        <v>60571.600000000006</v>
      </c>
      <c r="AB105" s="49">
        <f>IFERROR(Table1[[#This Row],[Target Coverage]]*Table1[[#This Row],[ IDPs ]],0)</f>
        <v>23956.2</v>
      </c>
      <c r="AC105" s="49">
        <f>IFERROR(Table1[[#This Row],[Target Coverage]]*Table1[[#This Row],[ Returnees ]],0)</f>
        <v>8153</v>
      </c>
      <c r="AD105" s="49">
        <f>IFERROR(Table1[[#This Row],[Target Coverage]]*Table1[[#This Row],[ Refugees in Sudan ]],0)</f>
        <v>28462.400000000001</v>
      </c>
    </row>
    <row r="106" spans="1:30" x14ac:dyDescent="0.25">
      <c r="A106" s="3" t="s">
        <v>205</v>
      </c>
      <c r="B106" s="3" t="s">
        <v>222</v>
      </c>
      <c r="C106" s="3" t="s">
        <v>223</v>
      </c>
      <c r="D106" s="4">
        <v>14951</v>
      </c>
      <c r="E106" s="3">
        <v>179</v>
      </c>
      <c r="F106" s="3" t="s">
        <v>24</v>
      </c>
      <c r="G106" s="4">
        <f>SUM(Table1[[#This Row],[ IDPs ]:[ Refugees in Sudan ]])</f>
        <v>15130</v>
      </c>
      <c r="H106" s="29">
        <v>3</v>
      </c>
      <c r="I106" s="4">
        <v>62226</v>
      </c>
      <c r="J106" s="4" t="s">
        <v>412</v>
      </c>
      <c r="K10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06" s="4"/>
      <c r="M106" s="4"/>
      <c r="N106" s="4"/>
      <c r="O106" s="4"/>
      <c r="P106" s="4">
        <f>MAX(Table1[[#This Row],['#Protection Partners]:['# MA Partners]])</f>
        <v>0</v>
      </c>
      <c r="Q106" s="35">
        <f>IF(Table1[[#This Row],[OVERALL PARTNERS]]&lt;=0,1,IF(Table1[[#This Row],[OVERALL PARTNERS]]&lt;6,0.5,IF(Table1[[#This Row],[OVERALL PARTNERS]]&lt;10,0,0)))</f>
        <v>1</v>
      </c>
      <c r="R106" s="4"/>
      <c r="S106" s="4"/>
      <c r="T106" s="4"/>
      <c r="U106" s="4"/>
      <c r="V106" s="13">
        <f>MAX(Table1[[#This Row],[People Reached Protection]:[People Reached MA]])/Table1[[#This Row],[2025 - Targets]]</f>
        <v>0</v>
      </c>
      <c r="W106" s="34">
        <f>IF(Table1[[#This Row],[OVERALL REACHED]]&gt;50%,0,IF(Table1[[#This Row],[OVERALL REACHED]]&gt;0%,1,2))</f>
        <v>2</v>
      </c>
      <c r="X106" s="37">
        <f>SUM(Table1[[#This Row],[ACCESS SCORE]],Table1[[#This Row],[PARTNER PRESENCE SCORE]],Table1[[#This Row],[''Neglected'' LOCATION SCORE (REACHED)]])</f>
        <v>7</v>
      </c>
      <c r="Y10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6" s="13" cm="1">
        <f t="array" ref="Z106">_xlfn.XLOOKUP(Table1[[#This Row],[2026 - Final Severity of Needs]]&amp;Table1[[#This Row],[Priority]],'2. Lookup'!A:A&amp;'2. Lookup'!B:B,'2. Lookup'!C:C,0)</f>
        <v>0.2</v>
      </c>
      <c r="AA106" s="49">
        <f>Table1[[#This Row],[Target Coverage]]*Table1[[#This Row],[2026 - PiN]]</f>
        <v>3026</v>
      </c>
      <c r="AB106" s="49">
        <f>IFERROR(Table1[[#This Row],[Target Coverage]]*Table1[[#This Row],[ IDPs ]],0)</f>
        <v>2990.2000000000003</v>
      </c>
      <c r="AC106" s="49">
        <f>IFERROR(Table1[[#This Row],[Target Coverage]]*Table1[[#This Row],[ Returnees ]],0)</f>
        <v>35.800000000000004</v>
      </c>
      <c r="AD106" s="49">
        <f>IFERROR(Table1[[#This Row],[Target Coverage]]*Table1[[#This Row],[ Refugees in Sudan ]],0)</f>
        <v>0</v>
      </c>
    </row>
    <row r="107" spans="1:30" x14ac:dyDescent="0.25">
      <c r="A107" s="1" t="s">
        <v>224</v>
      </c>
      <c r="B107" s="1" t="s">
        <v>225</v>
      </c>
      <c r="C107" s="1" t="s">
        <v>226</v>
      </c>
      <c r="D107" s="2">
        <v>2145</v>
      </c>
      <c r="E107" s="1" t="s">
        <v>23</v>
      </c>
      <c r="F107" s="1" t="s">
        <v>24</v>
      </c>
      <c r="G107" s="2">
        <f>SUM(Table1[[#This Row],[ IDPs ]:[ Refugees in Sudan ]])</f>
        <v>2145</v>
      </c>
      <c r="H107" s="30">
        <v>3</v>
      </c>
      <c r="I107" s="2">
        <v>10435</v>
      </c>
      <c r="J107" s="4" t="s">
        <v>415</v>
      </c>
      <c r="K10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07" s="4"/>
      <c r="M107" s="4"/>
      <c r="N107" s="4"/>
      <c r="O107" s="4"/>
      <c r="P107" s="4">
        <f>MAX(Table1[[#This Row],['#Protection Partners]:['# MA Partners]])</f>
        <v>0</v>
      </c>
      <c r="Q107" s="35">
        <f>IF(Table1[[#This Row],[OVERALL PARTNERS]]&lt;=0,1,IF(Table1[[#This Row],[OVERALL PARTNERS]]&lt;6,0.5,IF(Table1[[#This Row],[OVERALL PARTNERS]]&lt;10,0,0)))</f>
        <v>1</v>
      </c>
      <c r="R107" s="4"/>
      <c r="S107" s="4"/>
      <c r="T107" s="4"/>
      <c r="U107" s="4"/>
      <c r="V107" s="13">
        <f>MAX(Table1[[#This Row],[People Reached Protection]:[People Reached MA]])/Table1[[#This Row],[2025 - Targets]]</f>
        <v>0</v>
      </c>
      <c r="W107" s="34">
        <f>IF(Table1[[#This Row],[OVERALL REACHED]]&gt;50%,0,IF(Table1[[#This Row],[OVERALL REACHED]]&gt;0%,1,2))</f>
        <v>2</v>
      </c>
      <c r="X107" s="37">
        <f>SUM(Table1[[#This Row],[ACCESS SCORE]],Table1[[#This Row],[PARTNER PRESENCE SCORE]],Table1[[#This Row],[''Neglected'' LOCATION SCORE (REACHED)]])</f>
        <v>8</v>
      </c>
      <c r="Y10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07" s="13" cm="1">
        <f t="array" ref="Z107">_xlfn.XLOOKUP(Table1[[#This Row],[2026 - Final Severity of Needs]]&amp;Table1[[#This Row],[Priority]],'2. Lookup'!A:A&amp;'2. Lookup'!B:B,'2. Lookup'!C:C,0)</f>
        <v>0.4</v>
      </c>
      <c r="AA107" s="49">
        <f>Table1[[#This Row],[Target Coverage]]*Table1[[#This Row],[2026 - PiN]]</f>
        <v>858</v>
      </c>
      <c r="AB107" s="49">
        <f>IFERROR(Table1[[#This Row],[Target Coverage]]*Table1[[#This Row],[ IDPs ]],0)</f>
        <v>858</v>
      </c>
      <c r="AC107" s="49">
        <f>IFERROR(Table1[[#This Row],[Target Coverage]]*Table1[[#This Row],[ Returnees ]],0)</f>
        <v>0</v>
      </c>
      <c r="AD107" s="49">
        <f>IFERROR(Table1[[#This Row],[Target Coverage]]*Table1[[#This Row],[ Refugees in Sudan ]],0)</f>
        <v>0</v>
      </c>
    </row>
    <row r="108" spans="1:30" x14ac:dyDescent="0.25">
      <c r="A108" s="3" t="s">
        <v>224</v>
      </c>
      <c r="B108" s="3" t="s">
        <v>227</v>
      </c>
      <c r="C108" s="3" t="s">
        <v>228</v>
      </c>
      <c r="D108" s="4">
        <v>125584</v>
      </c>
      <c r="E108" s="3" t="s">
        <v>23</v>
      </c>
      <c r="F108" s="4">
        <v>19020</v>
      </c>
      <c r="G108" s="4">
        <f>SUM(Table1[[#This Row],[ IDPs ]:[ Refugees in Sudan ]])</f>
        <v>144604</v>
      </c>
      <c r="H108" s="29">
        <v>3</v>
      </c>
      <c r="I108" s="4">
        <v>274616</v>
      </c>
      <c r="J108" s="4" t="s">
        <v>412</v>
      </c>
      <c r="K10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08" s="4"/>
      <c r="M108" s="4"/>
      <c r="N108" s="4"/>
      <c r="O108" s="4"/>
      <c r="P108" s="4">
        <f>MAX(Table1[[#This Row],['#Protection Partners]:['# MA Partners]])</f>
        <v>0</v>
      </c>
      <c r="Q108" s="35">
        <f>IF(Table1[[#This Row],[OVERALL PARTNERS]]&lt;=0,1,IF(Table1[[#This Row],[OVERALL PARTNERS]]&lt;6,0.5,IF(Table1[[#This Row],[OVERALL PARTNERS]]&lt;10,0,0)))</f>
        <v>1</v>
      </c>
      <c r="R108" s="4"/>
      <c r="S108" s="4"/>
      <c r="T108" s="4"/>
      <c r="U108" s="4"/>
      <c r="V108" s="13">
        <f>MAX(Table1[[#This Row],[People Reached Protection]:[People Reached MA]])/Table1[[#This Row],[2025 - Targets]]</f>
        <v>0</v>
      </c>
      <c r="W108" s="34">
        <f>IF(Table1[[#This Row],[OVERALL REACHED]]&gt;50%,0,IF(Table1[[#This Row],[OVERALL REACHED]]&gt;0%,1,2))</f>
        <v>2</v>
      </c>
      <c r="X108" s="37">
        <f>SUM(Table1[[#This Row],[ACCESS SCORE]],Table1[[#This Row],[PARTNER PRESENCE SCORE]],Table1[[#This Row],[''Neglected'' LOCATION SCORE (REACHED)]])</f>
        <v>7</v>
      </c>
      <c r="Y10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08" s="13" cm="1">
        <f t="array" ref="Z108">_xlfn.XLOOKUP(Table1[[#This Row],[2026 - Final Severity of Needs]]&amp;Table1[[#This Row],[Priority]],'2. Lookup'!A:A&amp;'2. Lookup'!B:B,'2. Lookup'!C:C,0)</f>
        <v>0.2</v>
      </c>
      <c r="AA108" s="49">
        <f>Table1[[#This Row],[Target Coverage]]*Table1[[#This Row],[2026 - PiN]]</f>
        <v>28920.800000000003</v>
      </c>
      <c r="AB108" s="49">
        <f>IFERROR(Table1[[#This Row],[Target Coverage]]*Table1[[#This Row],[ IDPs ]],0)</f>
        <v>25116.800000000003</v>
      </c>
      <c r="AC108" s="49">
        <f>IFERROR(Table1[[#This Row],[Target Coverage]]*Table1[[#This Row],[ Returnees ]],0)</f>
        <v>0</v>
      </c>
      <c r="AD108" s="49">
        <f>IFERROR(Table1[[#This Row],[Target Coverage]]*Table1[[#This Row],[ Refugees in Sudan ]],0)</f>
        <v>3804</v>
      </c>
    </row>
    <row r="109" spans="1:30" x14ac:dyDescent="0.25">
      <c r="A109" s="1" t="s">
        <v>224</v>
      </c>
      <c r="B109" s="1" t="s">
        <v>229</v>
      </c>
      <c r="C109" s="1" t="s">
        <v>230</v>
      </c>
      <c r="D109" s="2">
        <v>8319</v>
      </c>
      <c r="E109" s="1" t="s">
        <v>23</v>
      </c>
      <c r="F109" s="1">
        <v>29</v>
      </c>
      <c r="G109" s="2">
        <f>SUM(Table1[[#This Row],[ IDPs ]:[ Refugees in Sudan ]])</f>
        <v>8348</v>
      </c>
      <c r="H109" s="30">
        <v>3</v>
      </c>
      <c r="I109" s="2">
        <v>28801</v>
      </c>
      <c r="J109" s="4" t="s">
        <v>415</v>
      </c>
      <c r="K10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09" s="4"/>
      <c r="M109" s="4"/>
      <c r="N109" s="4"/>
      <c r="O109" s="4"/>
      <c r="P109" s="4">
        <f>MAX(Table1[[#This Row],['#Protection Partners]:['# MA Partners]])</f>
        <v>0</v>
      </c>
      <c r="Q109" s="35">
        <f>IF(Table1[[#This Row],[OVERALL PARTNERS]]&lt;=0,1,IF(Table1[[#This Row],[OVERALL PARTNERS]]&lt;6,0.5,IF(Table1[[#This Row],[OVERALL PARTNERS]]&lt;10,0,0)))</f>
        <v>1</v>
      </c>
      <c r="R109" s="4"/>
      <c r="S109" s="4"/>
      <c r="T109" s="4"/>
      <c r="U109" s="4"/>
      <c r="V109" s="13">
        <f>MAX(Table1[[#This Row],[People Reached Protection]:[People Reached MA]])/Table1[[#This Row],[2025 - Targets]]</f>
        <v>0</v>
      </c>
      <c r="W109" s="34">
        <f>IF(Table1[[#This Row],[OVERALL REACHED]]&gt;50%,0,IF(Table1[[#This Row],[OVERALL REACHED]]&gt;0%,1,2))</f>
        <v>2</v>
      </c>
      <c r="X109" s="37">
        <f>SUM(Table1[[#This Row],[ACCESS SCORE]],Table1[[#This Row],[PARTNER PRESENCE SCORE]],Table1[[#This Row],[''Neglected'' LOCATION SCORE (REACHED)]])</f>
        <v>8</v>
      </c>
      <c r="Y10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09" s="13" cm="1">
        <f t="array" ref="Z109">_xlfn.XLOOKUP(Table1[[#This Row],[2026 - Final Severity of Needs]]&amp;Table1[[#This Row],[Priority]],'2. Lookup'!A:A&amp;'2. Lookup'!B:B,'2. Lookup'!C:C,0)</f>
        <v>0.4</v>
      </c>
      <c r="AA109" s="49">
        <f>Table1[[#This Row],[Target Coverage]]*Table1[[#This Row],[2026 - PiN]]</f>
        <v>3339.2000000000003</v>
      </c>
      <c r="AB109" s="49">
        <f>IFERROR(Table1[[#This Row],[Target Coverage]]*Table1[[#This Row],[ IDPs ]],0)</f>
        <v>3327.6000000000004</v>
      </c>
      <c r="AC109" s="49">
        <f>IFERROR(Table1[[#This Row],[Target Coverage]]*Table1[[#This Row],[ Returnees ]],0)</f>
        <v>0</v>
      </c>
      <c r="AD109" s="49">
        <f>IFERROR(Table1[[#This Row],[Target Coverage]]*Table1[[#This Row],[ Refugees in Sudan ]],0)</f>
        <v>11.600000000000001</v>
      </c>
    </row>
    <row r="110" spans="1:30" x14ac:dyDescent="0.25">
      <c r="A110" s="3" t="s">
        <v>224</v>
      </c>
      <c r="B110" s="3" t="s">
        <v>231</v>
      </c>
      <c r="C110" s="3" t="s">
        <v>232</v>
      </c>
      <c r="D110" s="3">
        <v>376</v>
      </c>
      <c r="E110" s="3" t="s">
        <v>23</v>
      </c>
      <c r="F110" s="3" t="s">
        <v>24</v>
      </c>
      <c r="G110" s="4">
        <f>SUM(Table1[[#This Row],[ IDPs ]:[ Refugees in Sudan ]])</f>
        <v>376</v>
      </c>
      <c r="H110" s="29">
        <v>3</v>
      </c>
      <c r="I110" s="4">
        <v>4494</v>
      </c>
      <c r="J110" s="4" t="s">
        <v>410</v>
      </c>
      <c r="K11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10" s="4"/>
      <c r="M110" s="4"/>
      <c r="N110" s="4"/>
      <c r="O110" s="4"/>
      <c r="P110" s="4">
        <f>MAX(Table1[[#This Row],['#Protection Partners]:['# MA Partners]])</f>
        <v>0</v>
      </c>
      <c r="Q110" s="35">
        <f>IF(Table1[[#This Row],[OVERALL PARTNERS]]&lt;=0,1,IF(Table1[[#This Row],[OVERALL PARTNERS]]&lt;6,0.5,IF(Table1[[#This Row],[OVERALL PARTNERS]]&lt;10,0,0)))</f>
        <v>1</v>
      </c>
      <c r="R110" s="4"/>
      <c r="S110" s="4"/>
      <c r="T110" s="4"/>
      <c r="U110" s="4"/>
      <c r="V110" s="13">
        <f>MAX(Table1[[#This Row],[People Reached Protection]:[People Reached MA]])/Table1[[#This Row],[2025 - Targets]]</f>
        <v>0</v>
      </c>
      <c r="W110" s="34">
        <f>IF(Table1[[#This Row],[OVERALL REACHED]]&gt;50%,0,IF(Table1[[#This Row],[OVERALL REACHED]]&gt;0%,1,2))</f>
        <v>2</v>
      </c>
      <c r="X110" s="37">
        <f>SUM(Table1[[#This Row],[ACCESS SCORE]],Table1[[#This Row],[PARTNER PRESENCE SCORE]],Table1[[#This Row],[''Neglected'' LOCATION SCORE (REACHED)]])</f>
        <v>6</v>
      </c>
      <c r="Y11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10" s="13" cm="1">
        <f t="array" ref="Z110">_xlfn.XLOOKUP(Table1[[#This Row],[2026 - Final Severity of Needs]]&amp;Table1[[#This Row],[Priority]],'2. Lookup'!A:A&amp;'2. Lookup'!B:B,'2. Lookup'!C:C,0)</f>
        <v>0.2</v>
      </c>
      <c r="AA110" s="49">
        <f>Table1[[#This Row],[Target Coverage]]*Table1[[#This Row],[2026 - PiN]]</f>
        <v>75.2</v>
      </c>
      <c r="AB110" s="49">
        <f>IFERROR(Table1[[#This Row],[Target Coverage]]*Table1[[#This Row],[ IDPs ]],0)</f>
        <v>75.2</v>
      </c>
      <c r="AC110" s="49">
        <f>IFERROR(Table1[[#This Row],[Target Coverage]]*Table1[[#This Row],[ Returnees ]],0)</f>
        <v>0</v>
      </c>
      <c r="AD110" s="49">
        <f>IFERROR(Table1[[#This Row],[Target Coverage]]*Table1[[#This Row],[ Refugees in Sudan ]],0)</f>
        <v>0</v>
      </c>
    </row>
    <row r="111" spans="1:30" x14ac:dyDescent="0.25">
      <c r="A111" s="1" t="s">
        <v>224</v>
      </c>
      <c r="B111" s="1" t="s">
        <v>233</v>
      </c>
      <c r="C111" s="1" t="s">
        <v>234</v>
      </c>
      <c r="D111" s="1">
        <v>164</v>
      </c>
      <c r="E111" s="1" t="s">
        <v>23</v>
      </c>
      <c r="F111" s="1" t="s">
        <v>24</v>
      </c>
      <c r="G111" s="2">
        <f>SUM(Table1[[#This Row],[ IDPs ]:[ Refugees in Sudan ]])</f>
        <v>164</v>
      </c>
      <c r="H111" s="30">
        <v>3</v>
      </c>
      <c r="I111" s="2">
        <v>16295</v>
      </c>
      <c r="J111" s="4" t="s">
        <v>415</v>
      </c>
      <c r="K11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11" s="4"/>
      <c r="M111" s="4"/>
      <c r="N111" s="4"/>
      <c r="O111" s="4"/>
      <c r="P111" s="4">
        <f>MAX(Table1[[#This Row],['#Protection Partners]:['# MA Partners]])</f>
        <v>0</v>
      </c>
      <c r="Q111" s="35">
        <f>IF(Table1[[#This Row],[OVERALL PARTNERS]]&lt;=0,1,IF(Table1[[#This Row],[OVERALL PARTNERS]]&lt;6,0.5,IF(Table1[[#This Row],[OVERALL PARTNERS]]&lt;10,0,0)))</f>
        <v>1</v>
      </c>
      <c r="R111" s="4"/>
      <c r="S111" s="4"/>
      <c r="T111" s="4"/>
      <c r="U111" s="4"/>
      <c r="V111" s="13">
        <f>MAX(Table1[[#This Row],[People Reached Protection]:[People Reached MA]])/Table1[[#This Row],[2025 - Targets]]</f>
        <v>0</v>
      </c>
      <c r="W111" s="34">
        <f>IF(Table1[[#This Row],[OVERALL REACHED]]&gt;50%,0,IF(Table1[[#This Row],[OVERALL REACHED]]&gt;0%,1,2))</f>
        <v>2</v>
      </c>
      <c r="X111" s="37">
        <f>SUM(Table1[[#This Row],[ACCESS SCORE]],Table1[[#This Row],[PARTNER PRESENCE SCORE]],Table1[[#This Row],[''Neglected'' LOCATION SCORE (REACHED)]])</f>
        <v>8</v>
      </c>
      <c r="Y11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11" s="13" cm="1">
        <f t="array" ref="Z111">_xlfn.XLOOKUP(Table1[[#This Row],[2026 - Final Severity of Needs]]&amp;Table1[[#This Row],[Priority]],'2. Lookup'!A:A&amp;'2. Lookup'!B:B,'2. Lookup'!C:C,0)</f>
        <v>0.4</v>
      </c>
      <c r="AA111" s="49">
        <f>Table1[[#This Row],[Target Coverage]]*Table1[[#This Row],[2026 - PiN]]</f>
        <v>65.600000000000009</v>
      </c>
      <c r="AB111" s="49">
        <f>IFERROR(Table1[[#This Row],[Target Coverage]]*Table1[[#This Row],[ IDPs ]],0)</f>
        <v>65.600000000000009</v>
      </c>
      <c r="AC111" s="49">
        <f>IFERROR(Table1[[#This Row],[Target Coverage]]*Table1[[#This Row],[ Returnees ]],0)</f>
        <v>0</v>
      </c>
      <c r="AD111" s="49">
        <f>IFERROR(Table1[[#This Row],[Target Coverage]]*Table1[[#This Row],[ Refugees in Sudan ]],0)</f>
        <v>0</v>
      </c>
    </row>
    <row r="112" spans="1:30" x14ac:dyDescent="0.25">
      <c r="A112" s="3" t="s">
        <v>224</v>
      </c>
      <c r="B112" s="3" t="s">
        <v>235</v>
      </c>
      <c r="C112" s="3" t="s">
        <v>236</v>
      </c>
      <c r="D112" s="4">
        <v>1997</v>
      </c>
      <c r="E112" s="3" t="s">
        <v>23</v>
      </c>
      <c r="F112" s="4">
        <v>1005</v>
      </c>
      <c r="G112" s="4">
        <f>SUM(Table1[[#This Row],[ IDPs ]:[ Refugees in Sudan ]])</f>
        <v>3002</v>
      </c>
      <c r="H112" s="29">
        <v>3</v>
      </c>
      <c r="I112" s="4">
        <v>17913</v>
      </c>
      <c r="J112" s="4" t="s">
        <v>411</v>
      </c>
      <c r="K11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12" s="4"/>
      <c r="M112" s="4"/>
      <c r="N112" s="4"/>
      <c r="O112" s="4"/>
      <c r="P112" s="4">
        <f>MAX(Table1[[#This Row],['#Protection Partners]:['# MA Partners]])</f>
        <v>0</v>
      </c>
      <c r="Q112" s="35">
        <f>IF(Table1[[#This Row],[OVERALL PARTNERS]]&lt;=0,1,IF(Table1[[#This Row],[OVERALL PARTNERS]]&lt;6,0.5,IF(Table1[[#This Row],[OVERALL PARTNERS]]&lt;10,0,0)))</f>
        <v>1</v>
      </c>
      <c r="R112" s="4"/>
      <c r="S112" s="4"/>
      <c r="T112" s="4"/>
      <c r="U112" s="4"/>
      <c r="V112" s="13">
        <f>MAX(Table1[[#This Row],[People Reached Protection]:[People Reached MA]])/Table1[[#This Row],[2025 - Targets]]</f>
        <v>0</v>
      </c>
      <c r="W112" s="34">
        <f>IF(Table1[[#This Row],[OVERALL REACHED]]&gt;50%,0,IF(Table1[[#This Row],[OVERALL REACHED]]&gt;0%,1,2))</f>
        <v>2</v>
      </c>
      <c r="X112" s="37">
        <f>SUM(Table1[[#This Row],[ACCESS SCORE]],Table1[[#This Row],[PARTNER PRESENCE SCORE]],Table1[[#This Row],[''Neglected'' LOCATION SCORE (REACHED)]])</f>
        <v>5</v>
      </c>
      <c r="Y11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12" s="13" cm="1">
        <f t="array" ref="Z112">_xlfn.XLOOKUP(Table1[[#This Row],[2026 - Final Severity of Needs]]&amp;Table1[[#This Row],[Priority]],'2. Lookup'!A:A&amp;'2. Lookup'!B:B,'2. Lookup'!C:C,0)</f>
        <v>0.1</v>
      </c>
      <c r="AA112" s="49">
        <f>Table1[[#This Row],[Target Coverage]]*Table1[[#This Row],[2026 - PiN]]</f>
        <v>300.2</v>
      </c>
      <c r="AB112" s="49">
        <f>IFERROR(Table1[[#This Row],[Target Coverage]]*Table1[[#This Row],[ IDPs ]],0)</f>
        <v>199.70000000000002</v>
      </c>
      <c r="AC112" s="49">
        <f>IFERROR(Table1[[#This Row],[Target Coverage]]*Table1[[#This Row],[ Returnees ]],0)</f>
        <v>0</v>
      </c>
      <c r="AD112" s="49">
        <f>IFERROR(Table1[[#This Row],[Target Coverage]]*Table1[[#This Row],[ Refugees in Sudan ]],0)</f>
        <v>100.5</v>
      </c>
    </row>
    <row r="113" spans="1:30" x14ac:dyDescent="0.25">
      <c r="A113" s="1" t="s">
        <v>224</v>
      </c>
      <c r="B113" s="1" t="s">
        <v>237</v>
      </c>
      <c r="C113" s="1" t="s">
        <v>238</v>
      </c>
      <c r="D113" s="2">
        <v>2399</v>
      </c>
      <c r="E113" s="1" t="s">
        <v>23</v>
      </c>
      <c r="F113" s="1" t="s">
        <v>24</v>
      </c>
      <c r="G113" s="2">
        <f>SUM(Table1[[#This Row],[ IDPs ]:[ Refugees in Sudan ]])</f>
        <v>2399</v>
      </c>
      <c r="H113" s="30">
        <v>3</v>
      </c>
      <c r="I113" s="2">
        <v>19198</v>
      </c>
      <c r="J113" s="4" t="s">
        <v>410</v>
      </c>
      <c r="K11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13" s="4"/>
      <c r="M113" s="4"/>
      <c r="N113" s="4"/>
      <c r="O113" s="4"/>
      <c r="P113" s="4">
        <f>MAX(Table1[[#This Row],['#Protection Partners]:['# MA Partners]])</f>
        <v>0</v>
      </c>
      <c r="Q113" s="35">
        <f>IF(Table1[[#This Row],[OVERALL PARTNERS]]&lt;=0,1,IF(Table1[[#This Row],[OVERALL PARTNERS]]&lt;6,0.5,IF(Table1[[#This Row],[OVERALL PARTNERS]]&lt;10,0,0)))</f>
        <v>1</v>
      </c>
      <c r="R113" s="4"/>
      <c r="S113" s="4"/>
      <c r="T113" s="4"/>
      <c r="U113" s="4"/>
      <c r="V113" s="13">
        <f>MAX(Table1[[#This Row],[People Reached Protection]:[People Reached MA]])/Table1[[#This Row],[2025 - Targets]]</f>
        <v>0</v>
      </c>
      <c r="W113" s="34">
        <f>IF(Table1[[#This Row],[OVERALL REACHED]]&gt;50%,0,IF(Table1[[#This Row],[OVERALL REACHED]]&gt;0%,1,2))</f>
        <v>2</v>
      </c>
      <c r="X113" s="37">
        <f>SUM(Table1[[#This Row],[ACCESS SCORE]],Table1[[#This Row],[PARTNER PRESENCE SCORE]],Table1[[#This Row],[''Neglected'' LOCATION SCORE (REACHED)]])</f>
        <v>6</v>
      </c>
      <c r="Y11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13" s="13" cm="1">
        <f t="array" ref="Z113">_xlfn.XLOOKUP(Table1[[#This Row],[2026 - Final Severity of Needs]]&amp;Table1[[#This Row],[Priority]],'2. Lookup'!A:A&amp;'2. Lookup'!B:B,'2. Lookup'!C:C,0)</f>
        <v>0.2</v>
      </c>
      <c r="AA113" s="49">
        <f>Table1[[#This Row],[Target Coverage]]*Table1[[#This Row],[2026 - PiN]]</f>
        <v>479.8</v>
      </c>
      <c r="AB113" s="49">
        <f>IFERROR(Table1[[#This Row],[Target Coverage]]*Table1[[#This Row],[ IDPs ]],0)</f>
        <v>479.8</v>
      </c>
      <c r="AC113" s="49">
        <f>IFERROR(Table1[[#This Row],[Target Coverage]]*Table1[[#This Row],[ Returnees ]],0)</f>
        <v>0</v>
      </c>
      <c r="AD113" s="49">
        <f>IFERROR(Table1[[#This Row],[Target Coverage]]*Table1[[#This Row],[ Refugees in Sudan ]],0)</f>
        <v>0</v>
      </c>
    </row>
    <row r="114" spans="1:30" x14ac:dyDescent="0.25">
      <c r="A114" s="3" t="s">
        <v>224</v>
      </c>
      <c r="B114" s="3" t="s">
        <v>239</v>
      </c>
      <c r="C114" s="3" t="s">
        <v>240</v>
      </c>
      <c r="D114" s="4">
        <v>4345</v>
      </c>
      <c r="E114" s="3" t="s">
        <v>23</v>
      </c>
      <c r="F114" s="3" t="s">
        <v>24</v>
      </c>
      <c r="G114" s="4">
        <f>SUM(Table1[[#This Row],[ IDPs ]:[ Refugees in Sudan ]])</f>
        <v>4345</v>
      </c>
      <c r="H114" s="29">
        <v>3</v>
      </c>
      <c r="I114" s="4">
        <v>45582</v>
      </c>
      <c r="J114" s="4" t="s">
        <v>410</v>
      </c>
      <c r="K11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14" s="4"/>
      <c r="M114" s="4"/>
      <c r="N114" s="4"/>
      <c r="O114" s="4"/>
      <c r="P114" s="4">
        <f>MAX(Table1[[#This Row],['#Protection Partners]:['# MA Partners]])</f>
        <v>0</v>
      </c>
      <c r="Q114" s="35">
        <f>IF(Table1[[#This Row],[OVERALL PARTNERS]]&lt;=0,1,IF(Table1[[#This Row],[OVERALL PARTNERS]]&lt;6,0.5,IF(Table1[[#This Row],[OVERALL PARTNERS]]&lt;10,0,0)))</f>
        <v>1</v>
      </c>
      <c r="R114" s="4"/>
      <c r="S114" s="4"/>
      <c r="T114" s="4"/>
      <c r="U114" s="4"/>
      <c r="V114" s="13">
        <f>MAX(Table1[[#This Row],[People Reached Protection]:[People Reached MA]])/Table1[[#This Row],[2025 - Targets]]</f>
        <v>0</v>
      </c>
      <c r="W114" s="34">
        <f>IF(Table1[[#This Row],[OVERALL REACHED]]&gt;50%,0,IF(Table1[[#This Row],[OVERALL REACHED]]&gt;0%,1,2))</f>
        <v>2</v>
      </c>
      <c r="X114" s="37">
        <f>SUM(Table1[[#This Row],[ACCESS SCORE]],Table1[[#This Row],[PARTNER PRESENCE SCORE]],Table1[[#This Row],[''Neglected'' LOCATION SCORE (REACHED)]])</f>
        <v>6</v>
      </c>
      <c r="Y11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14" s="13" cm="1">
        <f t="array" ref="Z114">_xlfn.XLOOKUP(Table1[[#This Row],[2026 - Final Severity of Needs]]&amp;Table1[[#This Row],[Priority]],'2. Lookup'!A:A&amp;'2. Lookup'!B:B,'2. Lookup'!C:C,0)</f>
        <v>0.2</v>
      </c>
      <c r="AA114" s="49">
        <f>Table1[[#This Row],[Target Coverage]]*Table1[[#This Row],[2026 - PiN]]</f>
        <v>869</v>
      </c>
      <c r="AB114" s="49">
        <f>IFERROR(Table1[[#This Row],[Target Coverage]]*Table1[[#This Row],[ IDPs ]],0)</f>
        <v>869</v>
      </c>
      <c r="AC114" s="49">
        <f>IFERROR(Table1[[#This Row],[Target Coverage]]*Table1[[#This Row],[ Returnees ]],0)</f>
        <v>0</v>
      </c>
      <c r="AD114" s="49">
        <f>IFERROR(Table1[[#This Row],[Target Coverage]]*Table1[[#This Row],[ Refugees in Sudan ]],0)</f>
        <v>0</v>
      </c>
    </row>
    <row r="115" spans="1:30" x14ac:dyDescent="0.25">
      <c r="A115" s="1" t="s">
        <v>224</v>
      </c>
      <c r="B115" s="1" t="s">
        <v>241</v>
      </c>
      <c r="C115" s="1" t="s">
        <v>242</v>
      </c>
      <c r="D115" s="2">
        <v>9785</v>
      </c>
      <c r="E115" s="1" t="s">
        <v>23</v>
      </c>
      <c r="F115" s="1">
        <v>68</v>
      </c>
      <c r="G115" s="2">
        <f>SUM(Table1[[#This Row],[ IDPs ]:[ Refugees in Sudan ]])</f>
        <v>9853</v>
      </c>
      <c r="H115" s="30">
        <v>3</v>
      </c>
      <c r="I115" s="2">
        <v>33310</v>
      </c>
      <c r="J115" s="4" t="s">
        <v>410</v>
      </c>
      <c r="K11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15" s="4"/>
      <c r="M115" s="4"/>
      <c r="N115" s="4"/>
      <c r="O115" s="4"/>
      <c r="P115" s="4">
        <f>MAX(Table1[[#This Row],['#Protection Partners]:['# MA Partners]])</f>
        <v>0</v>
      </c>
      <c r="Q115" s="35">
        <f>IF(Table1[[#This Row],[OVERALL PARTNERS]]&lt;=0,1,IF(Table1[[#This Row],[OVERALL PARTNERS]]&lt;6,0.5,IF(Table1[[#This Row],[OVERALL PARTNERS]]&lt;10,0,0)))</f>
        <v>1</v>
      </c>
      <c r="R115" s="4"/>
      <c r="S115" s="4"/>
      <c r="T115" s="4"/>
      <c r="U115" s="4"/>
      <c r="V115" s="13">
        <f>MAX(Table1[[#This Row],[People Reached Protection]:[People Reached MA]])/Table1[[#This Row],[2025 - Targets]]</f>
        <v>0</v>
      </c>
      <c r="W115" s="34">
        <f>IF(Table1[[#This Row],[OVERALL REACHED]]&gt;50%,0,IF(Table1[[#This Row],[OVERALL REACHED]]&gt;0%,1,2))</f>
        <v>2</v>
      </c>
      <c r="X115" s="37">
        <f>SUM(Table1[[#This Row],[ACCESS SCORE]],Table1[[#This Row],[PARTNER PRESENCE SCORE]],Table1[[#This Row],[''Neglected'' LOCATION SCORE (REACHED)]])</f>
        <v>6</v>
      </c>
      <c r="Y11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15" s="13" cm="1">
        <f t="array" ref="Z115">_xlfn.XLOOKUP(Table1[[#This Row],[2026 - Final Severity of Needs]]&amp;Table1[[#This Row],[Priority]],'2. Lookup'!A:A&amp;'2. Lookup'!B:B,'2. Lookup'!C:C,0)</f>
        <v>0.2</v>
      </c>
      <c r="AA115" s="49">
        <f>Table1[[#This Row],[Target Coverage]]*Table1[[#This Row],[2026 - PiN]]</f>
        <v>1970.6000000000001</v>
      </c>
      <c r="AB115" s="49">
        <f>IFERROR(Table1[[#This Row],[Target Coverage]]*Table1[[#This Row],[ IDPs ]],0)</f>
        <v>1957</v>
      </c>
      <c r="AC115" s="49">
        <f>IFERROR(Table1[[#This Row],[Target Coverage]]*Table1[[#This Row],[ Returnees ]],0)</f>
        <v>0</v>
      </c>
      <c r="AD115" s="49">
        <f>IFERROR(Table1[[#This Row],[Target Coverage]]*Table1[[#This Row],[ Refugees in Sudan ]],0)</f>
        <v>13.600000000000001</v>
      </c>
    </row>
    <row r="116" spans="1:30" x14ac:dyDescent="0.25">
      <c r="A116" s="3" t="s">
        <v>224</v>
      </c>
      <c r="B116" s="3" t="s">
        <v>243</v>
      </c>
      <c r="C116" s="3" t="s">
        <v>244</v>
      </c>
      <c r="D116" s="3">
        <v>401</v>
      </c>
      <c r="E116" s="3" t="s">
        <v>23</v>
      </c>
      <c r="F116" s="3" t="s">
        <v>24</v>
      </c>
      <c r="G116" s="4">
        <f>SUM(Table1[[#This Row],[ IDPs ]:[ Refugees in Sudan ]])</f>
        <v>401</v>
      </c>
      <c r="H116" s="29">
        <v>3</v>
      </c>
      <c r="I116" s="4">
        <v>13032</v>
      </c>
      <c r="J116" s="4" t="s">
        <v>415</v>
      </c>
      <c r="K11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16" s="4"/>
      <c r="M116" s="4"/>
      <c r="N116" s="4"/>
      <c r="O116" s="4"/>
      <c r="P116" s="4">
        <f>MAX(Table1[[#This Row],['#Protection Partners]:['# MA Partners]])</f>
        <v>0</v>
      </c>
      <c r="Q116" s="35">
        <f>IF(Table1[[#This Row],[OVERALL PARTNERS]]&lt;=0,1,IF(Table1[[#This Row],[OVERALL PARTNERS]]&lt;6,0.5,IF(Table1[[#This Row],[OVERALL PARTNERS]]&lt;10,0,0)))</f>
        <v>1</v>
      </c>
      <c r="R116" s="4"/>
      <c r="S116" s="4"/>
      <c r="T116" s="4"/>
      <c r="U116" s="4"/>
      <c r="V116" s="13">
        <f>MAX(Table1[[#This Row],[People Reached Protection]:[People Reached MA]])/Table1[[#This Row],[2025 - Targets]]</f>
        <v>0</v>
      </c>
      <c r="W116" s="34">
        <f>IF(Table1[[#This Row],[OVERALL REACHED]]&gt;50%,0,IF(Table1[[#This Row],[OVERALL REACHED]]&gt;0%,1,2))</f>
        <v>2</v>
      </c>
      <c r="X116" s="37">
        <f>SUM(Table1[[#This Row],[ACCESS SCORE]],Table1[[#This Row],[PARTNER PRESENCE SCORE]],Table1[[#This Row],[''Neglected'' LOCATION SCORE (REACHED)]])</f>
        <v>8</v>
      </c>
      <c r="Y11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16" s="13" cm="1">
        <f t="array" ref="Z116">_xlfn.XLOOKUP(Table1[[#This Row],[2026 - Final Severity of Needs]]&amp;Table1[[#This Row],[Priority]],'2. Lookup'!A:A&amp;'2. Lookup'!B:B,'2. Lookup'!C:C,0)</f>
        <v>0.4</v>
      </c>
      <c r="AA116" s="49">
        <f>Table1[[#This Row],[Target Coverage]]*Table1[[#This Row],[2026 - PiN]]</f>
        <v>160.4</v>
      </c>
      <c r="AB116" s="49">
        <f>IFERROR(Table1[[#This Row],[Target Coverage]]*Table1[[#This Row],[ IDPs ]],0)</f>
        <v>160.4</v>
      </c>
      <c r="AC116" s="49">
        <f>IFERROR(Table1[[#This Row],[Target Coverage]]*Table1[[#This Row],[ Returnees ]],0)</f>
        <v>0</v>
      </c>
      <c r="AD116" s="49">
        <f>IFERROR(Table1[[#This Row],[Target Coverage]]*Table1[[#This Row],[ Refugees in Sudan ]],0)</f>
        <v>0</v>
      </c>
    </row>
    <row r="117" spans="1:30" x14ac:dyDescent="0.25">
      <c r="A117" s="1" t="s">
        <v>245</v>
      </c>
      <c r="B117" s="1" t="s">
        <v>246</v>
      </c>
      <c r="C117" s="1" t="s">
        <v>247</v>
      </c>
      <c r="D117" s="2">
        <v>20130</v>
      </c>
      <c r="E117" s="1" t="s">
        <v>23</v>
      </c>
      <c r="F117" s="2">
        <v>1234</v>
      </c>
      <c r="G117" s="2">
        <f>SUM(Table1[[#This Row],[ IDPs ]:[ Refugees in Sudan ]])</f>
        <v>21364</v>
      </c>
      <c r="H117" s="30">
        <v>3</v>
      </c>
      <c r="I117" s="2">
        <v>107007</v>
      </c>
      <c r="J117" s="4" t="s">
        <v>415</v>
      </c>
      <c r="K11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17" s="4"/>
      <c r="M117" s="4"/>
      <c r="N117" s="4"/>
      <c r="O117" s="4"/>
      <c r="P117" s="4">
        <f>MAX(Table1[[#This Row],['#Protection Partners]:['# MA Partners]])</f>
        <v>0</v>
      </c>
      <c r="Q117" s="35">
        <f>IF(Table1[[#This Row],[OVERALL PARTNERS]]&lt;=0,1,IF(Table1[[#This Row],[OVERALL PARTNERS]]&lt;6,0.5,IF(Table1[[#This Row],[OVERALL PARTNERS]]&lt;10,0,0)))</f>
        <v>1</v>
      </c>
      <c r="R117" s="4"/>
      <c r="S117" s="4"/>
      <c r="T117" s="4"/>
      <c r="U117" s="4"/>
      <c r="V117" s="13">
        <f>MAX(Table1[[#This Row],[People Reached Protection]:[People Reached MA]])/Table1[[#This Row],[2025 - Targets]]</f>
        <v>0</v>
      </c>
      <c r="W117" s="34">
        <f>IF(Table1[[#This Row],[OVERALL REACHED]]&gt;50%,0,IF(Table1[[#This Row],[OVERALL REACHED]]&gt;0%,1,2))</f>
        <v>2</v>
      </c>
      <c r="X117" s="37">
        <f>SUM(Table1[[#This Row],[ACCESS SCORE]],Table1[[#This Row],[PARTNER PRESENCE SCORE]],Table1[[#This Row],[''Neglected'' LOCATION SCORE (REACHED)]])</f>
        <v>8</v>
      </c>
      <c r="Y11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17" s="13" cm="1">
        <f t="array" ref="Z117">_xlfn.XLOOKUP(Table1[[#This Row],[2026 - Final Severity of Needs]]&amp;Table1[[#This Row],[Priority]],'2. Lookup'!A:A&amp;'2. Lookup'!B:B,'2. Lookup'!C:C,0)</f>
        <v>0.4</v>
      </c>
      <c r="AA117" s="49">
        <f>Table1[[#This Row],[Target Coverage]]*Table1[[#This Row],[2026 - PiN]]</f>
        <v>8545.6</v>
      </c>
      <c r="AB117" s="49">
        <f>IFERROR(Table1[[#This Row],[Target Coverage]]*Table1[[#This Row],[ IDPs ]],0)</f>
        <v>8052</v>
      </c>
      <c r="AC117" s="49">
        <f>IFERROR(Table1[[#This Row],[Target Coverage]]*Table1[[#This Row],[ Returnees ]],0)</f>
        <v>0</v>
      </c>
      <c r="AD117" s="49">
        <f>IFERROR(Table1[[#This Row],[Target Coverage]]*Table1[[#This Row],[ Refugees in Sudan ]],0)</f>
        <v>493.6</v>
      </c>
    </row>
    <row r="118" spans="1:30" x14ac:dyDescent="0.25">
      <c r="A118" s="3" t="s">
        <v>245</v>
      </c>
      <c r="B118" s="3" t="s">
        <v>248</v>
      </c>
      <c r="C118" s="3" t="s">
        <v>249</v>
      </c>
      <c r="D118" s="4">
        <v>48327</v>
      </c>
      <c r="E118" s="3" t="s">
        <v>23</v>
      </c>
      <c r="F118" s="4">
        <v>5435</v>
      </c>
      <c r="G118" s="4">
        <f>SUM(Table1[[#This Row],[ IDPs ]:[ Refugees in Sudan ]])</f>
        <v>53762</v>
      </c>
      <c r="H118" s="29">
        <v>3</v>
      </c>
      <c r="I118" s="4">
        <v>209889</v>
      </c>
      <c r="J118" s="4" t="s">
        <v>412</v>
      </c>
      <c r="K11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18" s="4"/>
      <c r="M118" s="4"/>
      <c r="N118" s="4"/>
      <c r="O118" s="4"/>
      <c r="P118" s="4">
        <f>MAX(Table1[[#This Row],['#Protection Partners]:['# MA Partners]])</f>
        <v>0</v>
      </c>
      <c r="Q118" s="35">
        <f>IF(Table1[[#This Row],[OVERALL PARTNERS]]&lt;=0,1,IF(Table1[[#This Row],[OVERALL PARTNERS]]&lt;6,0.5,IF(Table1[[#This Row],[OVERALL PARTNERS]]&lt;10,0,0)))</f>
        <v>1</v>
      </c>
      <c r="R118" s="4"/>
      <c r="S118" s="4"/>
      <c r="T118" s="4"/>
      <c r="U118" s="4"/>
      <c r="V118" s="13">
        <f>MAX(Table1[[#This Row],[People Reached Protection]:[People Reached MA]])/Table1[[#This Row],[2025 - Targets]]</f>
        <v>0</v>
      </c>
      <c r="W118" s="34">
        <f>IF(Table1[[#This Row],[OVERALL REACHED]]&gt;50%,0,IF(Table1[[#This Row],[OVERALL REACHED]]&gt;0%,1,2))</f>
        <v>2</v>
      </c>
      <c r="X118" s="37">
        <f>SUM(Table1[[#This Row],[ACCESS SCORE]],Table1[[#This Row],[PARTNER PRESENCE SCORE]],Table1[[#This Row],[''Neglected'' LOCATION SCORE (REACHED)]])</f>
        <v>7</v>
      </c>
      <c r="Y11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18" s="13" cm="1">
        <f t="array" ref="Z118">_xlfn.XLOOKUP(Table1[[#This Row],[2026 - Final Severity of Needs]]&amp;Table1[[#This Row],[Priority]],'2. Lookup'!A:A&amp;'2. Lookup'!B:B,'2. Lookup'!C:C,0)</f>
        <v>0.2</v>
      </c>
      <c r="AA118" s="49">
        <f>Table1[[#This Row],[Target Coverage]]*Table1[[#This Row],[2026 - PiN]]</f>
        <v>10752.400000000001</v>
      </c>
      <c r="AB118" s="49">
        <f>IFERROR(Table1[[#This Row],[Target Coverage]]*Table1[[#This Row],[ IDPs ]],0)</f>
        <v>9665.4</v>
      </c>
      <c r="AC118" s="49">
        <f>IFERROR(Table1[[#This Row],[Target Coverage]]*Table1[[#This Row],[ Returnees ]],0)</f>
        <v>0</v>
      </c>
      <c r="AD118" s="49">
        <f>IFERROR(Table1[[#This Row],[Target Coverage]]*Table1[[#This Row],[ Refugees in Sudan ]],0)</f>
        <v>1087</v>
      </c>
    </row>
    <row r="119" spans="1:30" x14ac:dyDescent="0.25">
      <c r="A119" s="1" t="s">
        <v>245</v>
      </c>
      <c r="B119" s="1" t="s">
        <v>250</v>
      </c>
      <c r="C119" s="1" t="s">
        <v>251</v>
      </c>
      <c r="D119" s="1">
        <v>570</v>
      </c>
      <c r="E119" s="1" t="s">
        <v>23</v>
      </c>
      <c r="F119" s="1" t="s">
        <v>24</v>
      </c>
      <c r="G119" s="2">
        <f>SUM(Table1[[#This Row],[ IDPs ]:[ Refugees in Sudan ]])</f>
        <v>570</v>
      </c>
      <c r="H119" s="30">
        <v>3</v>
      </c>
      <c r="I119" s="2">
        <v>14693</v>
      </c>
      <c r="J119" s="4" t="s">
        <v>410</v>
      </c>
      <c r="K11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19" s="4"/>
      <c r="M119" s="4"/>
      <c r="N119" s="4"/>
      <c r="O119" s="4"/>
      <c r="P119" s="4">
        <f>MAX(Table1[[#This Row],['#Protection Partners]:['# MA Partners]])</f>
        <v>0</v>
      </c>
      <c r="Q119" s="35">
        <f>IF(Table1[[#This Row],[OVERALL PARTNERS]]&lt;=0,1,IF(Table1[[#This Row],[OVERALL PARTNERS]]&lt;6,0.5,IF(Table1[[#This Row],[OVERALL PARTNERS]]&lt;10,0,0)))</f>
        <v>1</v>
      </c>
      <c r="R119" s="4"/>
      <c r="S119" s="4"/>
      <c r="T119" s="4"/>
      <c r="U119" s="4"/>
      <c r="V119" s="13">
        <f>MAX(Table1[[#This Row],[People Reached Protection]:[People Reached MA]])/Table1[[#This Row],[2025 - Targets]]</f>
        <v>0</v>
      </c>
      <c r="W119" s="34">
        <f>IF(Table1[[#This Row],[OVERALL REACHED]]&gt;50%,0,IF(Table1[[#This Row],[OVERALL REACHED]]&gt;0%,1,2))</f>
        <v>2</v>
      </c>
      <c r="X119" s="37">
        <f>SUM(Table1[[#This Row],[ACCESS SCORE]],Table1[[#This Row],[PARTNER PRESENCE SCORE]],Table1[[#This Row],[''Neglected'' LOCATION SCORE (REACHED)]])</f>
        <v>6</v>
      </c>
      <c r="Y11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19" s="13" cm="1">
        <f t="array" ref="Z119">_xlfn.XLOOKUP(Table1[[#This Row],[2026 - Final Severity of Needs]]&amp;Table1[[#This Row],[Priority]],'2. Lookup'!A:A&amp;'2. Lookup'!B:B,'2. Lookup'!C:C,0)</f>
        <v>0.2</v>
      </c>
      <c r="AA119" s="49">
        <f>Table1[[#This Row],[Target Coverage]]*Table1[[#This Row],[2026 - PiN]]</f>
        <v>114</v>
      </c>
      <c r="AB119" s="49">
        <f>IFERROR(Table1[[#This Row],[Target Coverage]]*Table1[[#This Row],[ IDPs ]],0)</f>
        <v>114</v>
      </c>
      <c r="AC119" s="49">
        <f>IFERROR(Table1[[#This Row],[Target Coverage]]*Table1[[#This Row],[ Returnees ]],0)</f>
        <v>0</v>
      </c>
      <c r="AD119" s="49">
        <f>IFERROR(Table1[[#This Row],[Target Coverage]]*Table1[[#This Row],[ Refugees in Sudan ]],0)</f>
        <v>0</v>
      </c>
    </row>
    <row r="120" spans="1:30" x14ac:dyDescent="0.25">
      <c r="A120" s="3" t="s">
        <v>245</v>
      </c>
      <c r="B120" s="3" t="s">
        <v>252</v>
      </c>
      <c r="C120" s="3" t="s">
        <v>253</v>
      </c>
      <c r="D120" s="4">
        <v>4620</v>
      </c>
      <c r="E120" s="3" t="s">
        <v>23</v>
      </c>
      <c r="F120" s="3" t="s">
        <v>24</v>
      </c>
      <c r="G120" s="4">
        <f>SUM(Table1[[#This Row],[ IDPs ]:[ Refugees in Sudan ]])</f>
        <v>4620</v>
      </c>
      <c r="H120" s="29">
        <v>3</v>
      </c>
      <c r="I120" s="4">
        <v>18708</v>
      </c>
      <c r="J120" s="4" t="s">
        <v>415</v>
      </c>
      <c r="K12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20" s="4"/>
      <c r="M120" s="4"/>
      <c r="N120" s="4"/>
      <c r="O120" s="4"/>
      <c r="P120" s="4">
        <f>MAX(Table1[[#This Row],['#Protection Partners]:['# MA Partners]])</f>
        <v>0</v>
      </c>
      <c r="Q120" s="35">
        <f>IF(Table1[[#This Row],[OVERALL PARTNERS]]&lt;=0,1,IF(Table1[[#This Row],[OVERALL PARTNERS]]&lt;6,0.5,IF(Table1[[#This Row],[OVERALL PARTNERS]]&lt;10,0,0)))</f>
        <v>1</v>
      </c>
      <c r="R120" s="4"/>
      <c r="S120" s="4"/>
      <c r="T120" s="4"/>
      <c r="U120" s="4"/>
      <c r="V120" s="13">
        <f>MAX(Table1[[#This Row],[People Reached Protection]:[People Reached MA]])/Table1[[#This Row],[2025 - Targets]]</f>
        <v>0</v>
      </c>
      <c r="W120" s="34">
        <f>IF(Table1[[#This Row],[OVERALL REACHED]]&gt;50%,0,IF(Table1[[#This Row],[OVERALL REACHED]]&gt;0%,1,2))</f>
        <v>2</v>
      </c>
      <c r="X120" s="37">
        <f>SUM(Table1[[#This Row],[ACCESS SCORE]],Table1[[#This Row],[PARTNER PRESENCE SCORE]],Table1[[#This Row],[''Neglected'' LOCATION SCORE (REACHED)]])</f>
        <v>8</v>
      </c>
      <c r="Y12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20" s="13" cm="1">
        <f t="array" ref="Z120">_xlfn.XLOOKUP(Table1[[#This Row],[2026 - Final Severity of Needs]]&amp;Table1[[#This Row],[Priority]],'2. Lookup'!A:A&amp;'2. Lookup'!B:B,'2. Lookup'!C:C,0)</f>
        <v>0.4</v>
      </c>
      <c r="AA120" s="49">
        <f>Table1[[#This Row],[Target Coverage]]*Table1[[#This Row],[2026 - PiN]]</f>
        <v>1848</v>
      </c>
      <c r="AB120" s="49">
        <f>IFERROR(Table1[[#This Row],[Target Coverage]]*Table1[[#This Row],[ IDPs ]],0)</f>
        <v>1848</v>
      </c>
      <c r="AC120" s="49">
        <f>IFERROR(Table1[[#This Row],[Target Coverage]]*Table1[[#This Row],[ Returnees ]],0)</f>
        <v>0</v>
      </c>
      <c r="AD120" s="49">
        <f>IFERROR(Table1[[#This Row],[Target Coverage]]*Table1[[#This Row],[ Refugees in Sudan ]],0)</f>
        <v>0</v>
      </c>
    </row>
    <row r="121" spans="1:30" x14ac:dyDescent="0.25">
      <c r="A121" s="1" t="s">
        <v>245</v>
      </c>
      <c r="B121" s="1" t="s">
        <v>254</v>
      </c>
      <c r="C121" s="1" t="s">
        <v>255</v>
      </c>
      <c r="D121" s="2">
        <v>3110</v>
      </c>
      <c r="E121" s="1" t="s">
        <v>23</v>
      </c>
      <c r="F121" s="2">
        <v>18795</v>
      </c>
      <c r="G121" s="2">
        <f>SUM(Table1[[#This Row],[ IDPs ]:[ Refugees in Sudan ]])</f>
        <v>21905</v>
      </c>
      <c r="H121" s="30">
        <v>3</v>
      </c>
      <c r="I121" s="2">
        <v>29522</v>
      </c>
      <c r="J121" s="4" t="s">
        <v>415</v>
      </c>
      <c r="K12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21" s="4"/>
      <c r="M121" s="4"/>
      <c r="N121" s="4"/>
      <c r="O121" s="4"/>
      <c r="P121" s="4">
        <f>MAX(Table1[[#This Row],['#Protection Partners]:['# MA Partners]])</f>
        <v>0</v>
      </c>
      <c r="Q121" s="35">
        <f>IF(Table1[[#This Row],[OVERALL PARTNERS]]&lt;=0,1,IF(Table1[[#This Row],[OVERALL PARTNERS]]&lt;6,0.5,IF(Table1[[#This Row],[OVERALL PARTNERS]]&lt;10,0,0)))</f>
        <v>1</v>
      </c>
      <c r="R121" s="4"/>
      <c r="S121" s="4"/>
      <c r="T121" s="4"/>
      <c r="U121" s="4"/>
      <c r="V121" s="13">
        <f>MAX(Table1[[#This Row],[People Reached Protection]:[People Reached MA]])/Table1[[#This Row],[2025 - Targets]]</f>
        <v>0</v>
      </c>
      <c r="W121" s="34">
        <f>IF(Table1[[#This Row],[OVERALL REACHED]]&gt;50%,0,IF(Table1[[#This Row],[OVERALL REACHED]]&gt;0%,1,2))</f>
        <v>2</v>
      </c>
      <c r="X121" s="37">
        <f>SUM(Table1[[#This Row],[ACCESS SCORE]],Table1[[#This Row],[PARTNER PRESENCE SCORE]],Table1[[#This Row],[''Neglected'' LOCATION SCORE (REACHED)]])</f>
        <v>8</v>
      </c>
      <c r="Y12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21" s="13" cm="1">
        <f t="array" ref="Z121">_xlfn.XLOOKUP(Table1[[#This Row],[2026 - Final Severity of Needs]]&amp;Table1[[#This Row],[Priority]],'2. Lookup'!A:A&amp;'2. Lookup'!B:B,'2. Lookup'!C:C,0)</f>
        <v>0.4</v>
      </c>
      <c r="AA121" s="49">
        <f>Table1[[#This Row],[Target Coverage]]*Table1[[#This Row],[2026 - PiN]]</f>
        <v>8762</v>
      </c>
      <c r="AB121" s="49">
        <f>IFERROR(Table1[[#This Row],[Target Coverage]]*Table1[[#This Row],[ IDPs ]],0)</f>
        <v>1244</v>
      </c>
      <c r="AC121" s="49">
        <f>IFERROR(Table1[[#This Row],[Target Coverage]]*Table1[[#This Row],[ Returnees ]],0)</f>
        <v>0</v>
      </c>
      <c r="AD121" s="49">
        <f>IFERROR(Table1[[#This Row],[Target Coverage]]*Table1[[#This Row],[ Refugees in Sudan ]],0)</f>
        <v>7518</v>
      </c>
    </row>
    <row r="122" spans="1:30" x14ac:dyDescent="0.25">
      <c r="A122" s="3" t="s">
        <v>245</v>
      </c>
      <c r="B122" s="3" t="s">
        <v>256</v>
      </c>
      <c r="C122" s="3" t="s">
        <v>257</v>
      </c>
      <c r="D122" s="4">
        <v>2832</v>
      </c>
      <c r="E122" s="3" t="s">
        <v>23</v>
      </c>
      <c r="F122" s="3" t="s">
        <v>24</v>
      </c>
      <c r="G122" s="4">
        <f>SUM(Table1[[#This Row],[ IDPs ]:[ Refugees in Sudan ]])</f>
        <v>2832</v>
      </c>
      <c r="H122" s="29">
        <v>3</v>
      </c>
      <c r="I122" s="4">
        <v>19284</v>
      </c>
      <c r="J122" s="4" t="s">
        <v>415</v>
      </c>
      <c r="K12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22" s="4"/>
      <c r="M122" s="4"/>
      <c r="N122" s="4"/>
      <c r="O122" s="4"/>
      <c r="P122" s="4">
        <f>MAX(Table1[[#This Row],['#Protection Partners]:['# MA Partners]])</f>
        <v>0</v>
      </c>
      <c r="Q122" s="35">
        <f>IF(Table1[[#This Row],[OVERALL PARTNERS]]&lt;=0,1,IF(Table1[[#This Row],[OVERALL PARTNERS]]&lt;6,0.5,IF(Table1[[#This Row],[OVERALL PARTNERS]]&lt;10,0,0)))</f>
        <v>1</v>
      </c>
      <c r="R122" s="4"/>
      <c r="S122" s="4"/>
      <c r="T122" s="4"/>
      <c r="U122" s="4"/>
      <c r="V122" s="13">
        <f>MAX(Table1[[#This Row],[People Reached Protection]:[People Reached MA]])/Table1[[#This Row],[2025 - Targets]]</f>
        <v>0</v>
      </c>
      <c r="W122" s="34">
        <f>IF(Table1[[#This Row],[OVERALL REACHED]]&gt;50%,0,IF(Table1[[#This Row],[OVERALL REACHED]]&gt;0%,1,2))</f>
        <v>2</v>
      </c>
      <c r="X122" s="37">
        <f>SUM(Table1[[#This Row],[ACCESS SCORE]],Table1[[#This Row],[PARTNER PRESENCE SCORE]],Table1[[#This Row],[''Neglected'' LOCATION SCORE (REACHED)]])</f>
        <v>8</v>
      </c>
      <c r="Y12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22" s="13" cm="1">
        <f t="array" ref="Z122">_xlfn.XLOOKUP(Table1[[#This Row],[2026 - Final Severity of Needs]]&amp;Table1[[#This Row],[Priority]],'2. Lookup'!A:A&amp;'2. Lookup'!B:B,'2. Lookup'!C:C,0)</f>
        <v>0.4</v>
      </c>
      <c r="AA122" s="49">
        <f>Table1[[#This Row],[Target Coverage]]*Table1[[#This Row],[2026 - PiN]]</f>
        <v>1132.8</v>
      </c>
      <c r="AB122" s="49">
        <f>IFERROR(Table1[[#This Row],[Target Coverage]]*Table1[[#This Row],[ IDPs ]],0)</f>
        <v>1132.8</v>
      </c>
      <c r="AC122" s="49">
        <f>IFERROR(Table1[[#This Row],[Target Coverage]]*Table1[[#This Row],[ Returnees ]],0)</f>
        <v>0</v>
      </c>
      <c r="AD122" s="49">
        <f>IFERROR(Table1[[#This Row],[Target Coverage]]*Table1[[#This Row],[ Refugees in Sudan ]],0)</f>
        <v>0</v>
      </c>
    </row>
    <row r="123" spans="1:30" x14ac:dyDescent="0.25">
      <c r="A123" s="1" t="s">
        <v>245</v>
      </c>
      <c r="B123" s="1" t="s">
        <v>258</v>
      </c>
      <c r="C123" s="1" t="s">
        <v>259</v>
      </c>
      <c r="D123" s="1">
        <v>695</v>
      </c>
      <c r="E123" s="1" t="s">
        <v>23</v>
      </c>
      <c r="F123" s="1" t="s">
        <v>24</v>
      </c>
      <c r="G123" s="2">
        <f>SUM(Table1[[#This Row],[ IDPs ]:[ Refugees in Sudan ]])</f>
        <v>695</v>
      </c>
      <c r="H123" s="30">
        <v>3</v>
      </c>
      <c r="I123" s="2">
        <v>39472</v>
      </c>
      <c r="J123" s="4" t="s">
        <v>415</v>
      </c>
      <c r="K12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23" s="4"/>
      <c r="M123" s="4"/>
      <c r="N123" s="4"/>
      <c r="O123" s="4"/>
      <c r="P123" s="4">
        <f>MAX(Table1[[#This Row],['#Protection Partners]:['# MA Partners]])</f>
        <v>0</v>
      </c>
      <c r="Q123" s="35">
        <f>IF(Table1[[#This Row],[OVERALL PARTNERS]]&lt;=0,1,IF(Table1[[#This Row],[OVERALL PARTNERS]]&lt;6,0.5,IF(Table1[[#This Row],[OVERALL PARTNERS]]&lt;10,0,0)))</f>
        <v>1</v>
      </c>
      <c r="R123" s="4"/>
      <c r="S123" s="4"/>
      <c r="T123" s="4"/>
      <c r="U123" s="4"/>
      <c r="V123" s="13">
        <f>MAX(Table1[[#This Row],[People Reached Protection]:[People Reached MA]])/Table1[[#This Row],[2025 - Targets]]</f>
        <v>0</v>
      </c>
      <c r="W123" s="34">
        <f>IF(Table1[[#This Row],[OVERALL REACHED]]&gt;50%,0,IF(Table1[[#This Row],[OVERALL REACHED]]&gt;0%,1,2))</f>
        <v>2</v>
      </c>
      <c r="X123" s="37">
        <f>SUM(Table1[[#This Row],[ACCESS SCORE]],Table1[[#This Row],[PARTNER PRESENCE SCORE]],Table1[[#This Row],[''Neglected'' LOCATION SCORE (REACHED)]])</f>
        <v>8</v>
      </c>
      <c r="Y12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23" s="13" cm="1">
        <f t="array" ref="Z123">_xlfn.XLOOKUP(Table1[[#This Row],[2026 - Final Severity of Needs]]&amp;Table1[[#This Row],[Priority]],'2. Lookup'!A:A&amp;'2. Lookup'!B:B,'2. Lookup'!C:C,0)</f>
        <v>0.4</v>
      </c>
      <c r="AA123" s="49">
        <f>Table1[[#This Row],[Target Coverage]]*Table1[[#This Row],[2026 - PiN]]</f>
        <v>278</v>
      </c>
      <c r="AB123" s="49">
        <f>IFERROR(Table1[[#This Row],[Target Coverage]]*Table1[[#This Row],[ IDPs ]],0)</f>
        <v>278</v>
      </c>
      <c r="AC123" s="49">
        <f>IFERROR(Table1[[#This Row],[Target Coverage]]*Table1[[#This Row],[ Returnees ]],0)</f>
        <v>0</v>
      </c>
      <c r="AD123" s="49">
        <f>IFERROR(Table1[[#This Row],[Target Coverage]]*Table1[[#This Row],[ Refugees in Sudan ]],0)</f>
        <v>0</v>
      </c>
    </row>
    <row r="124" spans="1:30" x14ac:dyDescent="0.25">
      <c r="A124" s="3" t="s">
        <v>245</v>
      </c>
      <c r="B124" s="3" t="s">
        <v>260</v>
      </c>
      <c r="C124" s="3" t="s">
        <v>261</v>
      </c>
      <c r="D124" s="4">
        <v>2760</v>
      </c>
      <c r="E124" s="3" t="s">
        <v>23</v>
      </c>
      <c r="F124" s="3" t="s">
        <v>24</v>
      </c>
      <c r="G124" s="4">
        <f>SUM(Table1[[#This Row],[ IDPs ]:[ Refugees in Sudan ]])</f>
        <v>2760</v>
      </c>
      <c r="H124" s="29">
        <v>3</v>
      </c>
      <c r="I124" s="4">
        <v>45877</v>
      </c>
      <c r="J124" s="4" t="s">
        <v>410</v>
      </c>
      <c r="K12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24" s="4"/>
      <c r="M124" s="4"/>
      <c r="N124" s="4"/>
      <c r="O124" s="4"/>
      <c r="P124" s="4">
        <f>MAX(Table1[[#This Row],['#Protection Partners]:['# MA Partners]])</f>
        <v>0</v>
      </c>
      <c r="Q124" s="35">
        <f>IF(Table1[[#This Row],[OVERALL PARTNERS]]&lt;=0,1,IF(Table1[[#This Row],[OVERALL PARTNERS]]&lt;6,0.5,IF(Table1[[#This Row],[OVERALL PARTNERS]]&lt;10,0,0)))</f>
        <v>1</v>
      </c>
      <c r="R124" s="4"/>
      <c r="S124" s="4"/>
      <c r="T124" s="4"/>
      <c r="U124" s="4"/>
      <c r="V124" s="13">
        <f>MAX(Table1[[#This Row],[People Reached Protection]:[People Reached MA]])/Table1[[#This Row],[2025 - Targets]]</f>
        <v>0</v>
      </c>
      <c r="W124" s="34">
        <f>IF(Table1[[#This Row],[OVERALL REACHED]]&gt;50%,0,IF(Table1[[#This Row],[OVERALL REACHED]]&gt;0%,1,2))</f>
        <v>2</v>
      </c>
      <c r="X124" s="37">
        <f>SUM(Table1[[#This Row],[ACCESS SCORE]],Table1[[#This Row],[PARTNER PRESENCE SCORE]],Table1[[#This Row],[''Neglected'' LOCATION SCORE (REACHED)]])</f>
        <v>6</v>
      </c>
      <c r="Y12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24" s="13" cm="1">
        <f t="array" ref="Z124">_xlfn.XLOOKUP(Table1[[#This Row],[2026 - Final Severity of Needs]]&amp;Table1[[#This Row],[Priority]],'2. Lookup'!A:A&amp;'2. Lookup'!B:B,'2. Lookup'!C:C,0)</f>
        <v>0.2</v>
      </c>
      <c r="AA124" s="49">
        <f>Table1[[#This Row],[Target Coverage]]*Table1[[#This Row],[2026 - PiN]]</f>
        <v>552</v>
      </c>
      <c r="AB124" s="49">
        <f>IFERROR(Table1[[#This Row],[Target Coverage]]*Table1[[#This Row],[ IDPs ]],0)</f>
        <v>552</v>
      </c>
      <c r="AC124" s="49">
        <f>IFERROR(Table1[[#This Row],[Target Coverage]]*Table1[[#This Row],[ Returnees ]],0)</f>
        <v>0</v>
      </c>
      <c r="AD124" s="49">
        <f>IFERROR(Table1[[#This Row],[Target Coverage]]*Table1[[#This Row],[ Refugees in Sudan ]],0)</f>
        <v>0</v>
      </c>
    </row>
    <row r="125" spans="1:30" x14ac:dyDescent="0.25">
      <c r="A125" s="1" t="s">
        <v>245</v>
      </c>
      <c r="B125" s="1" t="s">
        <v>262</v>
      </c>
      <c r="C125" s="1" t="s">
        <v>263</v>
      </c>
      <c r="D125" s="2">
        <v>6709</v>
      </c>
      <c r="E125" s="1" t="s">
        <v>23</v>
      </c>
      <c r="F125" s="2">
        <v>16797</v>
      </c>
      <c r="G125" s="2">
        <f>SUM(Table1[[#This Row],[ IDPs ]:[ Refugees in Sudan ]])</f>
        <v>23506</v>
      </c>
      <c r="H125" s="30">
        <v>3</v>
      </c>
      <c r="I125" s="2">
        <v>23280</v>
      </c>
      <c r="J125" s="4" t="s">
        <v>415</v>
      </c>
      <c r="K12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25" s="4"/>
      <c r="M125" s="4"/>
      <c r="N125" s="4"/>
      <c r="O125" s="4"/>
      <c r="P125" s="4">
        <f>MAX(Table1[[#This Row],['#Protection Partners]:['# MA Partners]])</f>
        <v>0</v>
      </c>
      <c r="Q125" s="35">
        <f>IF(Table1[[#This Row],[OVERALL PARTNERS]]&lt;=0,1,IF(Table1[[#This Row],[OVERALL PARTNERS]]&lt;6,0.5,IF(Table1[[#This Row],[OVERALL PARTNERS]]&lt;10,0,0)))</f>
        <v>1</v>
      </c>
      <c r="R125" s="4"/>
      <c r="S125" s="4"/>
      <c r="T125" s="4"/>
      <c r="U125" s="4"/>
      <c r="V125" s="13">
        <f>MAX(Table1[[#This Row],[People Reached Protection]:[People Reached MA]])/Table1[[#This Row],[2025 - Targets]]</f>
        <v>0</v>
      </c>
      <c r="W125" s="34">
        <f>IF(Table1[[#This Row],[OVERALL REACHED]]&gt;50%,0,IF(Table1[[#This Row],[OVERALL REACHED]]&gt;0%,1,2))</f>
        <v>2</v>
      </c>
      <c r="X125" s="37">
        <f>SUM(Table1[[#This Row],[ACCESS SCORE]],Table1[[#This Row],[PARTNER PRESENCE SCORE]],Table1[[#This Row],[''Neglected'' LOCATION SCORE (REACHED)]])</f>
        <v>8</v>
      </c>
      <c r="Y12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25" s="13" cm="1">
        <f t="array" ref="Z125">_xlfn.XLOOKUP(Table1[[#This Row],[2026 - Final Severity of Needs]]&amp;Table1[[#This Row],[Priority]],'2. Lookup'!A:A&amp;'2. Lookup'!B:B,'2. Lookup'!C:C,0)</f>
        <v>0.4</v>
      </c>
      <c r="AA125" s="49">
        <f>Table1[[#This Row],[Target Coverage]]*Table1[[#This Row],[2026 - PiN]]</f>
        <v>9402.4</v>
      </c>
      <c r="AB125" s="49">
        <f>IFERROR(Table1[[#This Row],[Target Coverage]]*Table1[[#This Row],[ IDPs ]],0)</f>
        <v>2683.6000000000004</v>
      </c>
      <c r="AC125" s="49">
        <f>IFERROR(Table1[[#This Row],[Target Coverage]]*Table1[[#This Row],[ Returnees ]],0)</f>
        <v>0</v>
      </c>
      <c r="AD125" s="49">
        <f>IFERROR(Table1[[#This Row],[Target Coverage]]*Table1[[#This Row],[ Refugees in Sudan ]],0)</f>
        <v>6718.8</v>
      </c>
    </row>
    <row r="126" spans="1:30" x14ac:dyDescent="0.25">
      <c r="A126" s="3" t="s">
        <v>245</v>
      </c>
      <c r="B126" s="3" t="s">
        <v>264</v>
      </c>
      <c r="C126" s="3" t="s">
        <v>265</v>
      </c>
      <c r="D126" s="4">
        <v>1400</v>
      </c>
      <c r="E126" s="3" t="s">
        <v>23</v>
      </c>
      <c r="F126" s="4">
        <v>66262</v>
      </c>
      <c r="G126" s="4">
        <f>SUM(Table1[[#This Row],[ IDPs ]:[ Refugees in Sudan ]])</f>
        <v>67662</v>
      </c>
      <c r="H126" s="29">
        <v>3</v>
      </c>
      <c r="I126" s="4">
        <v>8910</v>
      </c>
      <c r="J126" s="4" t="s">
        <v>410</v>
      </c>
      <c r="K12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26" s="4"/>
      <c r="M126" s="4"/>
      <c r="N126" s="4"/>
      <c r="O126" s="4"/>
      <c r="P126" s="4">
        <f>MAX(Table1[[#This Row],['#Protection Partners]:['# MA Partners]])</f>
        <v>0</v>
      </c>
      <c r="Q126" s="35">
        <f>IF(Table1[[#This Row],[OVERALL PARTNERS]]&lt;=0,1,IF(Table1[[#This Row],[OVERALL PARTNERS]]&lt;6,0.5,IF(Table1[[#This Row],[OVERALL PARTNERS]]&lt;10,0,0)))</f>
        <v>1</v>
      </c>
      <c r="R126" s="4"/>
      <c r="S126" s="4"/>
      <c r="T126" s="4"/>
      <c r="U126" s="4"/>
      <c r="V126" s="13">
        <f>MAX(Table1[[#This Row],[People Reached Protection]:[People Reached MA]])/Table1[[#This Row],[2025 - Targets]]</f>
        <v>0</v>
      </c>
      <c r="W126" s="34">
        <f>IF(Table1[[#This Row],[OVERALL REACHED]]&gt;50%,0,IF(Table1[[#This Row],[OVERALL REACHED]]&gt;0%,1,2))</f>
        <v>2</v>
      </c>
      <c r="X126" s="37">
        <f>SUM(Table1[[#This Row],[ACCESS SCORE]],Table1[[#This Row],[PARTNER PRESENCE SCORE]],Table1[[#This Row],[''Neglected'' LOCATION SCORE (REACHED)]])</f>
        <v>6</v>
      </c>
      <c r="Y12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26" s="13" cm="1">
        <f t="array" ref="Z126">_xlfn.XLOOKUP(Table1[[#This Row],[2026 - Final Severity of Needs]]&amp;Table1[[#This Row],[Priority]],'2. Lookup'!A:A&amp;'2. Lookup'!B:B,'2. Lookup'!C:C,0)</f>
        <v>0.2</v>
      </c>
      <c r="AA126" s="49">
        <f>Table1[[#This Row],[Target Coverage]]*Table1[[#This Row],[2026 - PiN]]</f>
        <v>13532.400000000001</v>
      </c>
      <c r="AB126" s="49">
        <f>IFERROR(Table1[[#This Row],[Target Coverage]]*Table1[[#This Row],[ IDPs ]],0)</f>
        <v>280</v>
      </c>
      <c r="AC126" s="49">
        <f>IFERROR(Table1[[#This Row],[Target Coverage]]*Table1[[#This Row],[ Returnees ]],0)</f>
        <v>0</v>
      </c>
      <c r="AD126" s="49">
        <f>IFERROR(Table1[[#This Row],[Target Coverage]]*Table1[[#This Row],[ Refugees in Sudan ]],0)</f>
        <v>13252.400000000001</v>
      </c>
    </row>
    <row r="127" spans="1:30" x14ac:dyDescent="0.25">
      <c r="A127" s="1" t="s">
        <v>245</v>
      </c>
      <c r="B127" s="1" t="s">
        <v>266</v>
      </c>
      <c r="C127" s="1" t="s">
        <v>267</v>
      </c>
      <c r="D127" s="2">
        <v>5522</v>
      </c>
      <c r="E127" s="1" t="s">
        <v>23</v>
      </c>
      <c r="F127" s="1" t="s">
        <v>24</v>
      </c>
      <c r="G127" s="2">
        <f>SUM(Table1[[#This Row],[ IDPs ]:[ Refugees in Sudan ]])</f>
        <v>5522</v>
      </c>
      <c r="H127" s="30">
        <v>3</v>
      </c>
      <c r="I127" s="2">
        <v>27942</v>
      </c>
      <c r="J127" s="4" t="s">
        <v>410</v>
      </c>
      <c r="K12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27" s="4"/>
      <c r="M127" s="4"/>
      <c r="N127" s="4"/>
      <c r="O127" s="4"/>
      <c r="P127" s="4">
        <f>MAX(Table1[[#This Row],['#Protection Partners]:['# MA Partners]])</f>
        <v>0</v>
      </c>
      <c r="Q127" s="35">
        <f>IF(Table1[[#This Row],[OVERALL PARTNERS]]&lt;=0,1,IF(Table1[[#This Row],[OVERALL PARTNERS]]&lt;6,0.5,IF(Table1[[#This Row],[OVERALL PARTNERS]]&lt;10,0,0)))</f>
        <v>1</v>
      </c>
      <c r="R127" s="4"/>
      <c r="S127" s="4"/>
      <c r="T127" s="4"/>
      <c r="U127" s="4"/>
      <c r="V127" s="13">
        <f>MAX(Table1[[#This Row],[People Reached Protection]:[People Reached MA]])/Table1[[#This Row],[2025 - Targets]]</f>
        <v>0</v>
      </c>
      <c r="W127" s="34">
        <f>IF(Table1[[#This Row],[OVERALL REACHED]]&gt;50%,0,IF(Table1[[#This Row],[OVERALL REACHED]]&gt;0%,1,2))</f>
        <v>2</v>
      </c>
      <c r="X127" s="37">
        <f>SUM(Table1[[#This Row],[ACCESS SCORE]],Table1[[#This Row],[PARTNER PRESENCE SCORE]],Table1[[#This Row],[''Neglected'' LOCATION SCORE (REACHED)]])</f>
        <v>6</v>
      </c>
      <c r="Y12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27" s="13" cm="1">
        <f t="array" ref="Z127">_xlfn.XLOOKUP(Table1[[#This Row],[2026 - Final Severity of Needs]]&amp;Table1[[#This Row],[Priority]],'2. Lookup'!A:A&amp;'2. Lookup'!B:B,'2. Lookup'!C:C,0)</f>
        <v>0.2</v>
      </c>
      <c r="AA127" s="49">
        <f>Table1[[#This Row],[Target Coverage]]*Table1[[#This Row],[2026 - PiN]]</f>
        <v>1104.4000000000001</v>
      </c>
      <c r="AB127" s="49">
        <f>IFERROR(Table1[[#This Row],[Target Coverage]]*Table1[[#This Row],[ IDPs ]],0)</f>
        <v>1104.4000000000001</v>
      </c>
      <c r="AC127" s="49">
        <f>IFERROR(Table1[[#This Row],[Target Coverage]]*Table1[[#This Row],[ Returnees ]],0)</f>
        <v>0</v>
      </c>
      <c r="AD127" s="49">
        <f>IFERROR(Table1[[#This Row],[Target Coverage]]*Table1[[#This Row],[ Refugees in Sudan ]],0)</f>
        <v>0</v>
      </c>
    </row>
    <row r="128" spans="1:30" x14ac:dyDescent="0.25">
      <c r="A128" s="3" t="s">
        <v>268</v>
      </c>
      <c r="B128" s="3" t="s">
        <v>269</v>
      </c>
      <c r="C128" s="3" t="s">
        <v>270</v>
      </c>
      <c r="D128" s="4">
        <v>4756</v>
      </c>
      <c r="E128" s="3" t="s">
        <v>23</v>
      </c>
      <c r="F128" s="3" t="s">
        <v>24</v>
      </c>
      <c r="G128" s="4">
        <f>SUM(Table1[[#This Row],[ IDPs ]:[ Refugees in Sudan ]])</f>
        <v>4756</v>
      </c>
      <c r="H128" s="29">
        <v>3</v>
      </c>
      <c r="I128" s="4">
        <v>41034</v>
      </c>
      <c r="J128" s="4" t="s">
        <v>415</v>
      </c>
      <c r="K12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28" s="4"/>
      <c r="M128" s="4"/>
      <c r="N128" s="4"/>
      <c r="O128" s="4"/>
      <c r="P128" s="4">
        <f>MAX(Table1[[#This Row],['#Protection Partners]:['# MA Partners]])</f>
        <v>0</v>
      </c>
      <c r="Q128" s="35">
        <f>IF(Table1[[#This Row],[OVERALL PARTNERS]]&lt;=0,1,IF(Table1[[#This Row],[OVERALL PARTNERS]]&lt;6,0.5,IF(Table1[[#This Row],[OVERALL PARTNERS]]&lt;10,0,0)))</f>
        <v>1</v>
      </c>
      <c r="R128" s="4"/>
      <c r="S128" s="4"/>
      <c r="T128" s="4"/>
      <c r="U128" s="4"/>
      <c r="V128" s="13">
        <f>MAX(Table1[[#This Row],[People Reached Protection]:[People Reached MA]])/Table1[[#This Row],[2025 - Targets]]</f>
        <v>0</v>
      </c>
      <c r="W128" s="34">
        <f>IF(Table1[[#This Row],[OVERALL REACHED]]&gt;50%,0,IF(Table1[[#This Row],[OVERALL REACHED]]&gt;0%,1,2))</f>
        <v>2</v>
      </c>
      <c r="X128" s="37">
        <f>SUM(Table1[[#This Row],[ACCESS SCORE]],Table1[[#This Row],[PARTNER PRESENCE SCORE]],Table1[[#This Row],[''Neglected'' LOCATION SCORE (REACHED)]])</f>
        <v>8</v>
      </c>
      <c r="Y12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28" s="13" cm="1">
        <f t="array" ref="Z128">_xlfn.XLOOKUP(Table1[[#This Row],[2026 - Final Severity of Needs]]&amp;Table1[[#This Row],[Priority]],'2. Lookup'!A:A&amp;'2. Lookup'!B:B,'2. Lookup'!C:C,0)</f>
        <v>0.4</v>
      </c>
      <c r="AA128" s="49">
        <f>Table1[[#This Row],[Target Coverage]]*Table1[[#This Row],[2026 - PiN]]</f>
        <v>1902.4</v>
      </c>
      <c r="AB128" s="49">
        <f>IFERROR(Table1[[#This Row],[Target Coverage]]*Table1[[#This Row],[ IDPs ]],0)</f>
        <v>1902.4</v>
      </c>
      <c r="AC128" s="49">
        <f>IFERROR(Table1[[#This Row],[Target Coverage]]*Table1[[#This Row],[ Returnees ]],0)</f>
        <v>0</v>
      </c>
      <c r="AD128" s="49">
        <f>IFERROR(Table1[[#This Row],[Target Coverage]]*Table1[[#This Row],[ Refugees in Sudan ]],0)</f>
        <v>0</v>
      </c>
    </row>
    <row r="129" spans="1:30" x14ac:dyDescent="0.25">
      <c r="A129" s="1" t="s">
        <v>268</v>
      </c>
      <c r="B129" s="1" t="s">
        <v>271</v>
      </c>
      <c r="C129" s="1" t="s">
        <v>272</v>
      </c>
      <c r="D129" s="2">
        <v>20950</v>
      </c>
      <c r="E129" s="1" t="s">
        <v>23</v>
      </c>
      <c r="F129" s="1">
        <v>6</v>
      </c>
      <c r="G129" s="2">
        <f>SUM(Table1[[#This Row],[ IDPs ]:[ Refugees in Sudan ]])</f>
        <v>20956</v>
      </c>
      <c r="H129" s="30">
        <v>4</v>
      </c>
      <c r="I129" s="2">
        <v>93649</v>
      </c>
      <c r="J129" s="4" t="s">
        <v>415</v>
      </c>
      <c r="K12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29" s="4"/>
      <c r="M129" s="4"/>
      <c r="N129" s="4"/>
      <c r="O129" s="4"/>
      <c r="P129" s="4">
        <f>MAX(Table1[[#This Row],['#Protection Partners]:['# MA Partners]])</f>
        <v>0</v>
      </c>
      <c r="Q129" s="35">
        <f>IF(Table1[[#This Row],[OVERALL PARTNERS]]&lt;=0,1,IF(Table1[[#This Row],[OVERALL PARTNERS]]&lt;6,0.5,IF(Table1[[#This Row],[OVERALL PARTNERS]]&lt;10,0,0)))</f>
        <v>1</v>
      </c>
      <c r="R129" s="4"/>
      <c r="S129" s="4"/>
      <c r="T129" s="4"/>
      <c r="U129" s="4"/>
      <c r="V129" s="13">
        <f>MAX(Table1[[#This Row],[People Reached Protection]:[People Reached MA]])/Table1[[#This Row],[2025 - Targets]]</f>
        <v>0</v>
      </c>
      <c r="W129" s="34">
        <f>IF(Table1[[#This Row],[OVERALL REACHED]]&gt;50%,0,IF(Table1[[#This Row],[OVERALL REACHED]]&gt;0%,1,2))</f>
        <v>2</v>
      </c>
      <c r="X129" s="37">
        <f>SUM(Table1[[#This Row],[ACCESS SCORE]],Table1[[#This Row],[PARTNER PRESENCE SCORE]],Table1[[#This Row],[''Neglected'' LOCATION SCORE (REACHED)]])</f>
        <v>8</v>
      </c>
      <c r="Y12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29" s="13" cm="1">
        <f t="array" ref="Z129">_xlfn.XLOOKUP(Table1[[#This Row],[2026 - Final Severity of Needs]]&amp;Table1[[#This Row],[Priority]],'2. Lookup'!A:A&amp;'2. Lookup'!B:B,'2. Lookup'!C:C,0)</f>
        <v>0.6</v>
      </c>
      <c r="AA129" s="49">
        <f>Table1[[#This Row],[Target Coverage]]*Table1[[#This Row],[2026 - PiN]]</f>
        <v>12573.6</v>
      </c>
      <c r="AB129" s="49">
        <f>IFERROR(Table1[[#This Row],[Target Coverage]]*Table1[[#This Row],[ IDPs ]],0)</f>
        <v>12570</v>
      </c>
      <c r="AC129" s="49">
        <f>IFERROR(Table1[[#This Row],[Target Coverage]]*Table1[[#This Row],[ Returnees ]],0)</f>
        <v>0</v>
      </c>
      <c r="AD129" s="49">
        <f>IFERROR(Table1[[#This Row],[Target Coverage]]*Table1[[#This Row],[ Refugees in Sudan ]],0)</f>
        <v>3.5999999999999996</v>
      </c>
    </row>
    <row r="130" spans="1:30" x14ac:dyDescent="0.25">
      <c r="A130" s="3" t="s">
        <v>268</v>
      </c>
      <c r="B130" s="3" t="s">
        <v>273</v>
      </c>
      <c r="C130" s="3" t="s">
        <v>274</v>
      </c>
      <c r="D130" s="4">
        <v>8875</v>
      </c>
      <c r="E130" s="3" t="s">
        <v>23</v>
      </c>
      <c r="F130" s="4">
        <v>19465</v>
      </c>
      <c r="G130" s="4">
        <f>SUM(Table1[[#This Row],[ IDPs ]:[ Refugees in Sudan ]])</f>
        <v>28340</v>
      </c>
      <c r="H130" s="29">
        <v>3</v>
      </c>
      <c r="I130" s="4">
        <v>41398</v>
      </c>
      <c r="J130" s="4" t="s">
        <v>412</v>
      </c>
      <c r="K13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30" s="4"/>
      <c r="M130" s="4"/>
      <c r="N130" s="4"/>
      <c r="O130" s="4"/>
      <c r="P130" s="4">
        <f>MAX(Table1[[#This Row],['#Protection Partners]:['# MA Partners]])</f>
        <v>0</v>
      </c>
      <c r="Q130" s="35">
        <f>IF(Table1[[#This Row],[OVERALL PARTNERS]]&lt;=0,1,IF(Table1[[#This Row],[OVERALL PARTNERS]]&lt;6,0.5,IF(Table1[[#This Row],[OVERALL PARTNERS]]&lt;10,0,0)))</f>
        <v>1</v>
      </c>
      <c r="R130" s="4"/>
      <c r="S130" s="4"/>
      <c r="T130" s="4"/>
      <c r="U130" s="4"/>
      <c r="V130" s="13">
        <f>MAX(Table1[[#This Row],[People Reached Protection]:[People Reached MA]])/Table1[[#This Row],[2025 - Targets]]</f>
        <v>0</v>
      </c>
      <c r="W130" s="34">
        <f>IF(Table1[[#This Row],[OVERALL REACHED]]&gt;50%,0,IF(Table1[[#This Row],[OVERALL REACHED]]&gt;0%,1,2))</f>
        <v>2</v>
      </c>
      <c r="X130" s="37">
        <f>SUM(Table1[[#This Row],[ACCESS SCORE]],Table1[[#This Row],[PARTNER PRESENCE SCORE]],Table1[[#This Row],[''Neglected'' LOCATION SCORE (REACHED)]])</f>
        <v>7</v>
      </c>
      <c r="Y13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30" s="13" cm="1">
        <f t="array" ref="Z130">_xlfn.XLOOKUP(Table1[[#This Row],[2026 - Final Severity of Needs]]&amp;Table1[[#This Row],[Priority]],'2. Lookup'!A:A&amp;'2. Lookup'!B:B,'2. Lookup'!C:C,0)</f>
        <v>0.2</v>
      </c>
      <c r="AA130" s="49">
        <f>Table1[[#This Row],[Target Coverage]]*Table1[[#This Row],[2026 - PiN]]</f>
        <v>5668</v>
      </c>
      <c r="AB130" s="49">
        <f>IFERROR(Table1[[#This Row],[Target Coverage]]*Table1[[#This Row],[ IDPs ]],0)</f>
        <v>1775</v>
      </c>
      <c r="AC130" s="49">
        <f>IFERROR(Table1[[#This Row],[Target Coverage]]*Table1[[#This Row],[ Returnees ]],0)</f>
        <v>0</v>
      </c>
      <c r="AD130" s="49">
        <f>IFERROR(Table1[[#This Row],[Target Coverage]]*Table1[[#This Row],[ Refugees in Sudan ]],0)</f>
        <v>3893</v>
      </c>
    </row>
    <row r="131" spans="1:30" x14ac:dyDescent="0.25">
      <c r="A131" s="1" t="s">
        <v>268</v>
      </c>
      <c r="B131" s="1" t="s">
        <v>275</v>
      </c>
      <c r="C131" s="1" t="s">
        <v>276</v>
      </c>
      <c r="D131" s="2">
        <v>10547</v>
      </c>
      <c r="E131" s="1" t="s">
        <v>23</v>
      </c>
      <c r="F131" s="1" t="s">
        <v>24</v>
      </c>
      <c r="G131" s="2">
        <f>SUM(Table1[[#This Row],[ IDPs ]:[ Refugees in Sudan ]])</f>
        <v>10547</v>
      </c>
      <c r="H131" s="30">
        <v>3</v>
      </c>
      <c r="I131" s="2">
        <v>56697</v>
      </c>
      <c r="J131" s="4" t="s">
        <v>410</v>
      </c>
      <c r="K13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31" s="4"/>
      <c r="M131" s="4"/>
      <c r="N131" s="4"/>
      <c r="O131" s="4"/>
      <c r="P131" s="4">
        <f>MAX(Table1[[#This Row],['#Protection Partners]:['# MA Partners]])</f>
        <v>0</v>
      </c>
      <c r="Q131" s="35">
        <f>IF(Table1[[#This Row],[OVERALL PARTNERS]]&lt;=0,1,IF(Table1[[#This Row],[OVERALL PARTNERS]]&lt;6,0.5,IF(Table1[[#This Row],[OVERALL PARTNERS]]&lt;10,0,0)))</f>
        <v>1</v>
      </c>
      <c r="R131" s="4"/>
      <c r="S131" s="4"/>
      <c r="T131" s="4"/>
      <c r="U131" s="4"/>
      <c r="V131" s="13">
        <f>MAX(Table1[[#This Row],[People Reached Protection]:[People Reached MA]])/Table1[[#This Row],[2025 - Targets]]</f>
        <v>0</v>
      </c>
      <c r="W131" s="34">
        <f>IF(Table1[[#This Row],[OVERALL REACHED]]&gt;50%,0,IF(Table1[[#This Row],[OVERALL REACHED]]&gt;0%,1,2))</f>
        <v>2</v>
      </c>
      <c r="X131" s="37">
        <f>SUM(Table1[[#This Row],[ACCESS SCORE]],Table1[[#This Row],[PARTNER PRESENCE SCORE]],Table1[[#This Row],[''Neglected'' LOCATION SCORE (REACHED)]])</f>
        <v>6</v>
      </c>
      <c r="Y13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31" s="13" cm="1">
        <f t="array" ref="Z131">_xlfn.XLOOKUP(Table1[[#This Row],[2026 - Final Severity of Needs]]&amp;Table1[[#This Row],[Priority]],'2. Lookup'!A:A&amp;'2. Lookup'!B:B,'2. Lookup'!C:C,0)</f>
        <v>0.2</v>
      </c>
      <c r="AA131" s="49">
        <f>Table1[[#This Row],[Target Coverage]]*Table1[[#This Row],[2026 - PiN]]</f>
        <v>2109.4</v>
      </c>
      <c r="AB131" s="49">
        <f>IFERROR(Table1[[#This Row],[Target Coverage]]*Table1[[#This Row],[ IDPs ]],0)</f>
        <v>2109.4</v>
      </c>
      <c r="AC131" s="49">
        <f>IFERROR(Table1[[#This Row],[Target Coverage]]*Table1[[#This Row],[ Returnees ]],0)</f>
        <v>0</v>
      </c>
      <c r="AD131" s="49">
        <f>IFERROR(Table1[[#This Row],[Target Coverage]]*Table1[[#This Row],[ Refugees in Sudan ]],0)</f>
        <v>0</v>
      </c>
    </row>
    <row r="132" spans="1:30" x14ac:dyDescent="0.25">
      <c r="A132" s="3" t="s">
        <v>268</v>
      </c>
      <c r="B132" s="3" t="s">
        <v>277</v>
      </c>
      <c r="C132" s="3" t="s">
        <v>278</v>
      </c>
      <c r="D132" s="4">
        <v>38666</v>
      </c>
      <c r="E132" s="3" t="s">
        <v>23</v>
      </c>
      <c r="F132" s="4">
        <v>2315</v>
      </c>
      <c r="G132" s="4">
        <f>SUM(Table1[[#This Row],[ IDPs ]:[ Refugees in Sudan ]])</f>
        <v>40981</v>
      </c>
      <c r="H132" s="29">
        <v>4</v>
      </c>
      <c r="I132" s="4">
        <v>59464</v>
      </c>
      <c r="J132" s="4" t="s">
        <v>415</v>
      </c>
      <c r="K13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32" s="4"/>
      <c r="M132" s="4"/>
      <c r="N132" s="4"/>
      <c r="O132" s="4"/>
      <c r="P132" s="4">
        <f>MAX(Table1[[#This Row],['#Protection Partners]:['# MA Partners]])</f>
        <v>0</v>
      </c>
      <c r="Q132" s="35">
        <f>IF(Table1[[#This Row],[OVERALL PARTNERS]]&lt;=0,1,IF(Table1[[#This Row],[OVERALL PARTNERS]]&lt;6,0.5,IF(Table1[[#This Row],[OVERALL PARTNERS]]&lt;10,0,0)))</f>
        <v>1</v>
      </c>
      <c r="R132" s="4"/>
      <c r="S132" s="4"/>
      <c r="T132" s="4"/>
      <c r="U132" s="4"/>
      <c r="V132" s="13">
        <f>MAX(Table1[[#This Row],[People Reached Protection]:[People Reached MA]])/Table1[[#This Row],[2025 - Targets]]</f>
        <v>0</v>
      </c>
      <c r="W132" s="34">
        <f>IF(Table1[[#This Row],[OVERALL REACHED]]&gt;50%,0,IF(Table1[[#This Row],[OVERALL REACHED]]&gt;0%,1,2))</f>
        <v>2</v>
      </c>
      <c r="X132" s="37">
        <f>SUM(Table1[[#This Row],[ACCESS SCORE]],Table1[[#This Row],[PARTNER PRESENCE SCORE]],Table1[[#This Row],[''Neglected'' LOCATION SCORE (REACHED)]])</f>
        <v>8</v>
      </c>
      <c r="Y13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32" s="13" cm="1">
        <f t="array" ref="Z132">_xlfn.XLOOKUP(Table1[[#This Row],[2026 - Final Severity of Needs]]&amp;Table1[[#This Row],[Priority]],'2. Lookup'!A:A&amp;'2. Lookup'!B:B,'2. Lookup'!C:C,0)</f>
        <v>0.6</v>
      </c>
      <c r="AA132" s="49">
        <f>Table1[[#This Row],[Target Coverage]]*Table1[[#This Row],[2026 - PiN]]</f>
        <v>24588.6</v>
      </c>
      <c r="AB132" s="49">
        <f>IFERROR(Table1[[#This Row],[Target Coverage]]*Table1[[#This Row],[ IDPs ]],0)</f>
        <v>23199.599999999999</v>
      </c>
      <c r="AC132" s="49">
        <f>IFERROR(Table1[[#This Row],[Target Coverage]]*Table1[[#This Row],[ Returnees ]],0)</f>
        <v>0</v>
      </c>
      <c r="AD132" s="49">
        <f>IFERROR(Table1[[#This Row],[Target Coverage]]*Table1[[#This Row],[ Refugees in Sudan ]],0)</f>
        <v>1389</v>
      </c>
    </row>
    <row r="133" spans="1:30" x14ac:dyDescent="0.25">
      <c r="A133" s="1" t="s">
        <v>268</v>
      </c>
      <c r="B133" s="1" t="s">
        <v>279</v>
      </c>
      <c r="C133" s="1" t="s">
        <v>280</v>
      </c>
      <c r="D133" s="2">
        <v>31956</v>
      </c>
      <c r="E133" s="1" t="s">
        <v>23</v>
      </c>
      <c r="F133" s="1" t="s">
        <v>24</v>
      </c>
      <c r="G133" s="2">
        <f>SUM(Table1[[#This Row],[ IDPs ]:[ Refugees in Sudan ]])</f>
        <v>31956</v>
      </c>
      <c r="H133" s="30">
        <v>3</v>
      </c>
      <c r="I133" s="2">
        <v>47156</v>
      </c>
      <c r="J133" s="4" t="s">
        <v>412</v>
      </c>
      <c r="K13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33" s="4"/>
      <c r="M133" s="4"/>
      <c r="N133" s="4"/>
      <c r="O133" s="4"/>
      <c r="P133" s="4">
        <f>MAX(Table1[[#This Row],['#Protection Partners]:['# MA Partners]])</f>
        <v>0</v>
      </c>
      <c r="Q133" s="35">
        <f>IF(Table1[[#This Row],[OVERALL PARTNERS]]&lt;=0,1,IF(Table1[[#This Row],[OVERALL PARTNERS]]&lt;6,0.5,IF(Table1[[#This Row],[OVERALL PARTNERS]]&lt;10,0,0)))</f>
        <v>1</v>
      </c>
      <c r="R133" s="4"/>
      <c r="S133" s="4"/>
      <c r="T133" s="4"/>
      <c r="U133" s="4"/>
      <c r="V133" s="13">
        <f>MAX(Table1[[#This Row],[People Reached Protection]:[People Reached MA]])/Table1[[#This Row],[2025 - Targets]]</f>
        <v>0</v>
      </c>
      <c r="W133" s="34">
        <f>IF(Table1[[#This Row],[OVERALL REACHED]]&gt;50%,0,IF(Table1[[#This Row],[OVERALL REACHED]]&gt;0%,1,2))</f>
        <v>2</v>
      </c>
      <c r="X133" s="37">
        <f>SUM(Table1[[#This Row],[ACCESS SCORE]],Table1[[#This Row],[PARTNER PRESENCE SCORE]],Table1[[#This Row],[''Neglected'' LOCATION SCORE (REACHED)]])</f>
        <v>7</v>
      </c>
      <c r="Y13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33" s="13" cm="1">
        <f t="array" ref="Z133">_xlfn.XLOOKUP(Table1[[#This Row],[2026 - Final Severity of Needs]]&amp;Table1[[#This Row],[Priority]],'2. Lookup'!A:A&amp;'2. Lookup'!B:B,'2. Lookup'!C:C,0)</f>
        <v>0.2</v>
      </c>
      <c r="AA133" s="49">
        <f>Table1[[#This Row],[Target Coverage]]*Table1[[#This Row],[2026 - PiN]]</f>
        <v>6391.2000000000007</v>
      </c>
      <c r="AB133" s="49">
        <f>IFERROR(Table1[[#This Row],[Target Coverage]]*Table1[[#This Row],[ IDPs ]],0)</f>
        <v>6391.2000000000007</v>
      </c>
      <c r="AC133" s="49">
        <f>IFERROR(Table1[[#This Row],[Target Coverage]]*Table1[[#This Row],[ Returnees ]],0)</f>
        <v>0</v>
      </c>
      <c r="AD133" s="49">
        <f>IFERROR(Table1[[#This Row],[Target Coverage]]*Table1[[#This Row],[ Refugees in Sudan ]],0)</f>
        <v>0</v>
      </c>
    </row>
    <row r="134" spans="1:30" x14ac:dyDescent="0.25">
      <c r="A134" s="3" t="s">
        <v>268</v>
      </c>
      <c r="B134" s="3" t="s">
        <v>281</v>
      </c>
      <c r="C134" s="3" t="s">
        <v>282</v>
      </c>
      <c r="D134" s="4">
        <v>57214</v>
      </c>
      <c r="E134" s="3" t="s">
        <v>23</v>
      </c>
      <c r="F134" s="3" t="s">
        <v>24</v>
      </c>
      <c r="G134" s="4">
        <f>SUM(Table1[[#This Row],[ IDPs ]:[ Refugees in Sudan ]])</f>
        <v>57214</v>
      </c>
      <c r="H134" s="29">
        <v>4</v>
      </c>
      <c r="I134" s="4">
        <v>33197</v>
      </c>
      <c r="J134" s="4" t="s">
        <v>415</v>
      </c>
      <c r="K13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34" s="4"/>
      <c r="M134" s="4"/>
      <c r="N134" s="4"/>
      <c r="O134" s="4"/>
      <c r="P134" s="4">
        <f>MAX(Table1[[#This Row],['#Protection Partners]:['# MA Partners]])</f>
        <v>0</v>
      </c>
      <c r="Q134" s="35">
        <f>IF(Table1[[#This Row],[OVERALL PARTNERS]]&lt;=0,1,IF(Table1[[#This Row],[OVERALL PARTNERS]]&lt;6,0.5,IF(Table1[[#This Row],[OVERALL PARTNERS]]&lt;10,0,0)))</f>
        <v>1</v>
      </c>
      <c r="R134" s="4"/>
      <c r="S134" s="4"/>
      <c r="T134" s="4"/>
      <c r="U134" s="4"/>
      <c r="V134" s="13">
        <f>MAX(Table1[[#This Row],[People Reached Protection]:[People Reached MA]])/Table1[[#This Row],[2025 - Targets]]</f>
        <v>0</v>
      </c>
      <c r="W134" s="34">
        <f>IF(Table1[[#This Row],[OVERALL REACHED]]&gt;50%,0,IF(Table1[[#This Row],[OVERALL REACHED]]&gt;0%,1,2))</f>
        <v>2</v>
      </c>
      <c r="X134" s="37">
        <f>SUM(Table1[[#This Row],[ACCESS SCORE]],Table1[[#This Row],[PARTNER PRESENCE SCORE]],Table1[[#This Row],[''Neglected'' LOCATION SCORE (REACHED)]])</f>
        <v>8</v>
      </c>
      <c r="Y13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34" s="13" cm="1">
        <f t="array" ref="Z134">_xlfn.XLOOKUP(Table1[[#This Row],[2026 - Final Severity of Needs]]&amp;Table1[[#This Row],[Priority]],'2. Lookup'!A:A&amp;'2. Lookup'!B:B,'2. Lookup'!C:C,0)</f>
        <v>0.6</v>
      </c>
      <c r="AA134" s="49">
        <f>Table1[[#This Row],[Target Coverage]]*Table1[[#This Row],[2026 - PiN]]</f>
        <v>34328.400000000001</v>
      </c>
      <c r="AB134" s="49">
        <f>IFERROR(Table1[[#This Row],[Target Coverage]]*Table1[[#This Row],[ IDPs ]],0)</f>
        <v>34328.400000000001</v>
      </c>
      <c r="AC134" s="49">
        <f>IFERROR(Table1[[#This Row],[Target Coverage]]*Table1[[#This Row],[ Returnees ]],0)</f>
        <v>0</v>
      </c>
      <c r="AD134" s="49">
        <f>IFERROR(Table1[[#This Row],[Target Coverage]]*Table1[[#This Row],[ Refugees in Sudan ]],0)</f>
        <v>0</v>
      </c>
    </row>
    <row r="135" spans="1:30" x14ac:dyDescent="0.25">
      <c r="A135" s="1" t="s">
        <v>268</v>
      </c>
      <c r="B135" s="1" t="s">
        <v>283</v>
      </c>
      <c r="C135" s="1" t="s">
        <v>284</v>
      </c>
      <c r="D135" s="2">
        <v>189077</v>
      </c>
      <c r="E135" s="1" t="s">
        <v>23</v>
      </c>
      <c r="F135" s="1">
        <v>2</v>
      </c>
      <c r="G135" s="2">
        <f>SUM(Table1[[#This Row],[ IDPs ]:[ Refugees in Sudan ]])</f>
        <v>189079</v>
      </c>
      <c r="H135" s="30">
        <v>3</v>
      </c>
      <c r="I135" s="2">
        <v>209965</v>
      </c>
      <c r="J135" s="4" t="s">
        <v>415</v>
      </c>
      <c r="K13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35" s="4"/>
      <c r="M135" s="4"/>
      <c r="N135" s="4"/>
      <c r="O135" s="4"/>
      <c r="P135" s="4">
        <f>MAX(Table1[[#This Row],['#Protection Partners]:['# MA Partners]])</f>
        <v>0</v>
      </c>
      <c r="Q135" s="35">
        <f>IF(Table1[[#This Row],[OVERALL PARTNERS]]&lt;=0,1,IF(Table1[[#This Row],[OVERALL PARTNERS]]&lt;6,0.5,IF(Table1[[#This Row],[OVERALL PARTNERS]]&lt;10,0,0)))</f>
        <v>1</v>
      </c>
      <c r="R135" s="4"/>
      <c r="S135" s="4"/>
      <c r="T135" s="4"/>
      <c r="U135" s="4"/>
      <c r="V135" s="13">
        <f>MAX(Table1[[#This Row],[People Reached Protection]:[People Reached MA]])/Table1[[#This Row],[2025 - Targets]]</f>
        <v>0</v>
      </c>
      <c r="W135" s="34">
        <f>IF(Table1[[#This Row],[OVERALL REACHED]]&gt;50%,0,IF(Table1[[#This Row],[OVERALL REACHED]]&gt;0%,1,2))</f>
        <v>2</v>
      </c>
      <c r="X135" s="37">
        <f>SUM(Table1[[#This Row],[ACCESS SCORE]],Table1[[#This Row],[PARTNER PRESENCE SCORE]],Table1[[#This Row],[''Neglected'' LOCATION SCORE (REACHED)]])</f>
        <v>8</v>
      </c>
      <c r="Y13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35" s="13" cm="1">
        <f t="array" ref="Z135">_xlfn.XLOOKUP(Table1[[#This Row],[2026 - Final Severity of Needs]]&amp;Table1[[#This Row],[Priority]],'2. Lookup'!A:A&amp;'2. Lookup'!B:B,'2. Lookup'!C:C,0)</f>
        <v>0.4</v>
      </c>
      <c r="AA135" s="49">
        <f>Table1[[#This Row],[Target Coverage]]*Table1[[#This Row],[2026 - PiN]]</f>
        <v>75631.600000000006</v>
      </c>
      <c r="AB135" s="49">
        <f>IFERROR(Table1[[#This Row],[Target Coverage]]*Table1[[#This Row],[ IDPs ]],0)</f>
        <v>75630.8</v>
      </c>
      <c r="AC135" s="49">
        <f>IFERROR(Table1[[#This Row],[Target Coverage]]*Table1[[#This Row],[ Returnees ]],0)</f>
        <v>0</v>
      </c>
      <c r="AD135" s="49">
        <f>IFERROR(Table1[[#This Row],[Target Coverage]]*Table1[[#This Row],[ Refugees in Sudan ]],0)</f>
        <v>0.8</v>
      </c>
    </row>
    <row r="136" spans="1:30" x14ac:dyDescent="0.25">
      <c r="A136" s="3" t="s">
        <v>268</v>
      </c>
      <c r="B136" s="3" t="s">
        <v>285</v>
      </c>
      <c r="C136" s="3" t="s">
        <v>286</v>
      </c>
      <c r="D136" s="4">
        <v>7576</v>
      </c>
      <c r="E136" s="3" t="s">
        <v>23</v>
      </c>
      <c r="F136" s="4">
        <v>3815</v>
      </c>
      <c r="G136" s="4">
        <f>SUM(Table1[[#This Row],[ IDPs ]:[ Refugees in Sudan ]])</f>
        <v>11391</v>
      </c>
      <c r="H136" s="29">
        <v>3</v>
      </c>
      <c r="I136" s="4">
        <v>60340</v>
      </c>
      <c r="J136" s="4" t="s">
        <v>415</v>
      </c>
      <c r="K13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36" s="4"/>
      <c r="M136" s="4"/>
      <c r="N136" s="4"/>
      <c r="O136" s="4"/>
      <c r="P136" s="4">
        <f>MAX(Table1[[#This Row],['#Protection Partners]:['# MA Partners]])</f>
        <v>0</v>
      </c>
      <c r="Q136" s="35">
        <f>IF(Table1[[#This Row],[OVERALL PARTNERS]]&lt;=0,1,IF(Table1[[#This Row],[OVERALL PARTNERS]]&lt;6,0.5,IF(Table1[[#This Row],[OVERALL PARTNERS]]&lt;10,0,0)))</f>
        <v>1</v>
      </c>
      <c r="R136" s="4"/>
      <c r="S136" s="4"/>
      <c r="T136" s="4"/>
      <c r="U136" s="4"/>
      <c r="V136" s="13">
        <f>MAX(Table1[[#This Row],[People Reached Protection]:[People Reached MA]])/Table1[[#This Row],[2025 - Targets]]</f>
        <v>0</v>
      </c>
      <c r="W136" s="34">
        <f>IF(Table1[[#This Row],[OVERALL REACHED]]&gt;50%,0,IF(Table1[[#This Row],[OVERALL REACHED]]&gt;0%,1,2))</f>
        <v>2</v>
      </c>
      <c r="X136" s="37">
        <f>SUM(Table1[[#This Row],[ACCESS SCORE]],Table1[[#This Row],[PARTNER PRESENCE SCORE]],Table1[[#This Row],[''Neglected'' LOCATION SCORE (REACHED)]])</f>
        <v>8</v>
      </c>
      <c r="Y13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36" s="13" cm="1">
        <f t="array" ref="Z136">_xlfn.XLOOKUP(Table1[[#This Row],[2026 - Final Severity of Needs]]&amp;Table1[[#This Row],[Priority]],'2. Lookup'!A:A&amp;'2. Lookup'!B:B,'2. Lookup'!C:C,0)</f>
        <v>0.4</v>
      </c>
      <c r="AA136" s="49">
        <f>Table1[[#This Row],[Target Coverage]]*Table1[[#This Row],[2026 - PiN]]</f>
        <v>4556.4000000000005</v>
      </c>
      <c r="AB136" s="49">
        <f>IFERROR(Table1[[#This Row],[Target Coverage]]*Table1[[#This Row],[ IDPs ]],0)</f>
        <v>3030.4</v>
      </c>
      <c r="AC136" s="49">
        <f>IFERROR(Table1[[#This Row],[Target Coverage]]*Table1[[#This Row],[ Returnees ]],0)</f>
        <v>0</v>
      </c>
      <c r="AD136" s="49">
        <f>IFERROR(Table1[[#This Row],[Target Coverage]]*Table1[[#This Row],[ Refugees in Sudan ]],0)</f>
        <v>1526</v>
      </c>
    </row>
    <row r="137" spans="1:30" x14ac:dyDescent="0.25">
      <c r="A137" s="1" t="s">
        <v>268</v>
      </c>
      <c r="B137" s="1" t="s">
        <v>287</v>
      </c>
      <c r="C137" s="1" t="s">
        <v>288</v>
      </c>
      <c r="D137" s="2">
        <v>9465</v>
      </c>
      <c r="E137" s="1" t="s">
        <v>23</v>
      </c>
      <c r="F137" s="2">
        <v>21106</v>
      </c>
      <c r="G137" s="2">
        <f>SUM(Table1[[#This Row],[ IDPs ]:[ Refugees in Sudan ]])</f>
        <v>30571</v>
      </c>
      <c r="H137" s="30">
        <v>3</v>
      </c>
      <c r="I137" s="2">
        <v>100977</v>
      </c>
      <c r="J137" s="4" t="s">
        <v>415</v>
      </c>
      <c r="K13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37" s="4"/>
      <c r="M137" s="4"/>
      <c r="N137" s="4"/>
      <c r="O137" s="4"/>
      <c r="P137" s="4">
        <f>MAX(Table1[[#This Row],['#Protection Partners]:['# MA Partners]])</f>
        <v>0</v>
      </c>
      <c r="Q137" s="35">
        <f>IF(Table1[[#This Row],[OVERALL PARTNERS]]&lt;=0,1,IF(Table1[[#This Row],[OVERALL PARTNERS]]&lt;6,0.5,IF(Table1[[#This Row],[OVERALL PARTNERS]]&lt;10,0,0)))</f>
        <v>1</v>
      </c>
      <c r="R137" s="4"/>
      <c r="S137" s="4"/>
      <c r="T137" s="4"/>
      <c r="U137" s="4"/>
      <c r="V137" s="13">
        <f>MAX(Table1[[#This Row],[People Reached Protection]:[People Reached MA]])/Table1[[#This Row],[2025 - Targets]]</f>
        <v>0</v>
      </c>
      <c r="W137" s="34">
        <f>IF(Table1[[#This Row],[OVERALL REACHED]]&gt;50%,0,IF(Table1[[#This Row],[OVERALL REACHED]]&gt;0%,1,2))</f>
        <v>2</v>
      </c>
      <c r="X137" s="37">
        <f>SUM(Table1[[#This Row],[ACCESS SCORE]],Table1[[#This Row],[PARTNER PRESENCE SCORE]],Table1[[#This Row],[''Neglected'' LOCATION SCORE (REACHED)]])</f>
        <v>8</v>
      </c>
      <c r="Y13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37" s="13" cm="1">
        <f t="array" ref="Z137">_xlfn.XLOOKUP(Table1[[#This Row],[2026 - Final Severity of Needs]]&amp;Table1[[#This Row],[Priority]],'2. Lookup'!A:A&amp;'2. Lookup'!B:B,'2. Lookup'!C:C,0)</f>
        <v>0.4</v>
      </c>
      <c r="AA137" s="49">
        <f>Table1[[#This Row],[Target Coverage]]*Table1[[#This Row],[2026 - PiN]]</f>
        <v>12228.400000000001</v>
      </c>
      <c r="AB137" s="49">
        <f>IFERROR(Table1[[#This Row],[Target Coverage]]*Table1[[#This Row],[ IDPs ]],0)</f>
        <v>3786</v>
      </c>
      <c r="AC137" s="49">
        <f>IFERROR(Table1[[#This Row],[Target Coverage]]*Table1[[#This Row],[ Returnees ]],0)</f>
        <v>0</v>
      </c>
      <c r="AD137" s="49">
        <f>IFERROR(Table1[[#This Row],[Target Coverage]]*Table1[[#This Row],[ Refugees in Sudan ]],0)</f>
        <v>8442.4</v>
      </c>
    </row>
    <row r="138" spans="1:30" x14ac:dyDescent="0.25">
      <c r="A138" s="3" t="s">
        <v>268</v>
      </c>
      <c r="B138" s="3" t="s">
        <v>289</v>
      </c>
      <c r="C138" s="3" t="s">
        <v>290</v>
      </c>
      <c r="D138" s="4">
        <v>37895</v>
      </c>
      <c r="E138" s="3" t="s">
        <v>23</v>
      </c>
      <c r="F138" s="4">
        <v>17225</v>
      </c>
      <c r="G138" s="4">
        <f>SUM(Table1[[#This Row],[ IDPs ]:[ Refugees in Sudan ]])</f>
        <v>55120</v>
      </c>
      <c r="H138" s="29">
        <v>3</v>
      </c>
      <c r="I138" s="4">
        <v>86020</v>
      </c>
      <c r="J138" s="4" t="s">
        <v>412</v>
      </c>
      <c r="K13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38" s="4"/>
      <c r="M138" s="4"/>
      <c r="N138" s="4"/>
      <c r="O138" s="4"/>
      <c r="P138" s="4">
        <f>MAX(Table1[[#This Row],['#Protection Partners]:['# MA Partners]])</f>
        <v>0</v>
      </c>
      <c r="Q138" s="35">
        <f>IF(Table1[[#This Row],[OVERALL PARTNERS]]&lt;=0,1,IF(Table1[[#This Row],[OVERALL PARTNERS]]&lt;6,0.5,IF(Table1[[#This Row],[OVERALL PARTNERS]]&lt;10,0,0)))</f>
        <v>1</v>
      </c>
      <c r="R138" s="4"/>
      <c r="S138" s="4"/>
      <c r="T138" s="4"/>
      <c r="U138" s="4"/>
      <c r="V138" s="13">
        <f>MAX(Table1[[#This Row],[People Reached Protection]:[People Reached MA]])/Table1[[#This Row],[2025 - Targets]]</f>
        <v>0</v>
      </c>
      <c r="W138" s="34">
        <f>IF(Table1[[#This Row],[OVERALL REACHED]]&gt;50%,0,IF(Table1[[#This Row],[OVERALL REACHED]]&gt;0%,1,2))</f>
        <v>2</v>
      </c>
      <c r="X138" s="37">
        <f>SUM(Table1[[#This Row],[ACCESS SCORE]],Table1[[#This Row],[PARTNER PRESENCE SCORE]],Table1[[#This Row],[''Neglected'' LOCATION SCORE (REACHED)]])</f>
        <v>7</v>
      </c>
      <c r="Y13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38" s="13" cm="1">
        <f t="array" ref="Z138">_xlfn.XLOOKUP(Table1[[#This Row],[2026 - Final Severity of Needs]]&amp;Table1[[#This Row],[Priority]],'2. Lookup'!A:A&amp;'2. Lookup'!B:B,'2. Lookup'!C:C,0)</f>
        <v>0.2</v>
      </c>
      <c r="AA138" s="49">
        <f>Table1[[#This Row],[Target Coverage]]*Table1[[#This Row],[2026 - PiN]]</f>
        <v>11024</v>
      </c>
      <c r="AB138" s="49">
        <f>IFERROR(Table1[[#This Row],[Target Coverage]]*Table1[[#This Row],[ IDPs ]],0)</f>
        <v>7579</v>
      </c>
      <c r="AC138" s="49">
        <f>IFERROR(Table1[[#This Row],[Target Coverage]]*Table1[[#This Row],[ Returnees ]],0)</f>
        <v>0</v>
      </c>
      <c r="AD138" s="49">
        <f>IFERROR(Table1[[#This Row],[Target Coverage]]*Table1[[#This Row],[ Refugees in Sudan ]],0)</f>
        <v>3445</v>
      </c>
    </row>
    <row r="139" spans="1:30" x14ac:dyDescent="0.25">
      <c r="A139" s="1" t="s">
        <v>268</v>
      </c>
      <c r="B139" s="1" t="s">
        <v>291</v>
      </c>
      <c r="C139" s="1" t="s">
        <v>292</v>
      </c>
      <c r="D139" s="2">
        <v>29095</v>
      </c>
      <c r="E139" s="1" t="s">
        <v>23</v>
      </c>
      <c r="F139" s="1" t="s">
        <v>24</v>
      </c>
      <c r="G139" s="2">
        <f>SUM(Table1[[#This Row],[ IDPs ]:[ Refugees in Sudan ]])</f>
        <v>29095</v>
      </c>
      <c r="H139" s="30">
        <v>3</v>
      </c>
      <c r="I139" s="2">
        <v>102990</v>
      </c>
      <c r="J139" s="4" t="s">
        <v>410</v>
      </c>
      <c r="K13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39" s="4"/>
      <c r="M139" s="4"/>
      <c r="N139" s="4"/>
      <c r="O139" s="4"/>
      <c r="P139" s="4">
        <f>MAX(Table1[[#This Row],['#Protection Partners]:['# MA Partners]])</f>
        <v>0</v>
      </c>
      <c r="Q139" s="35">
        <f>IF(Table1[[#This Row],[OVERALL PARTNERS]]&lt;=0,1,IF(Table1[[#This Row],[OVERALL PARTNERS]]&lt;6,0.5,IF(Table1[[#This Row],[OVERALL PARTNERS]]&lt;10,0,0)))</f>
        <v>1</v>
      </c>
      <c r="R139" s="4"/>
      <c r="S139" s="4"/>
      <c r="T139" s="4"/>
      <c r="U139" s="4"/>
      <c r="V139" s="13">
        <f>MAX(Table1[[#This Row],[People Reached Protection]:[People Reached MA]])/Table1[[#This Row],[2025 - Targets]]</f>
        <v>0</v>
      </c>
      <c r="W139" s="34">
        <f>IF(Table1[[#This Row],[OVERALL REACHED]]&gt;50%,0,IF(Table1[[#This Row],[OVERALL REACHED]]&gt;0%,1,2))</f>
        <v>2</v>
      </c>
      <c r="X139" s="37">
        <f>SUM(Table1[[#This Row],[ACCESS SCORE]],Table1[[#This Row],[PARTNER PRESENCE SCORE]],Table1[[#This Row],[''Neglected'' LOCATION SCORE (REACHED)]])</f>
        <v>6</v>
      </c>
      <c r="Y13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39" s="13" cm="1">
        <f t="array" ref="Z139">_xlfn.XLOOKUP(Table1[[#This Row],[2026 - Final Severity of Needs]]&amp;Table1[[#This Row],[Priority]],'2. Lookup'!A:A&amp;'2. Lookup'!B:B,'2. Lookup'!C:C,0)</f>
        <v>0.2</v>
      </c>
      <c r="AA139" s="49">
        <f>Table1[[#This Row],[Target Coverage]]*Table1[[#This Row],[2026 - PiN]]</f>
        <v>5819</v>
      </c>
      <c r="AB139" s="49">
        <f>IFERROR(Table1[[#This Row],[Target Coverage]]*Table1[[#This Row],[ IDPs ]],0)</f>
        <v>5819</v>
      </c>
      <c r="AC139" s="49">
        <f>IFERROR(Table1[[#This Row],[Target Coverage]]*Table1[[#This Row],[ Returnees ]],0)</f>
        <v>0</v>
      </c>
      <c r="AD139" s="49">
        <f>IFERROR(Table1[[#This Row],[Target Coverage]]*Table1[[#This Row],[ Refugees in Sudan ]],0)</f>
        <v>0</v>
      </c>
    </row>
    <row r="140" spans="1:30" x14ac:dyDescent="0.25">
      <c r="A140" s="3" t="s">
        <v>293</v>
      </c>
      <c r="B140" s="3" t="s">
        <v>294</v>
      </c>
      <c r="C140" s="3" t="s">
        <v>295</v>
      </c>
      <c r="D140" s="4">
        <v>41320</v>
      </c>
      <c r="E140" s="3" t="s">
        <v>23</v>
      </c>
      <c r="F140" s="3">
        <v>770</v>
      </c>
      <c r="G140" s="4">
        <f>SUM(Table1[[#This Row],[ IDPs ]:[ Refugees in Sudan ]])</f>
        <v>42090</v>
      </c>
      <c r="H140" s="29">
        <v>3</v>
      </c>
      <c r="I140" s="4">
        <v>135224</v>
      </c>
      <c r="J140" s="4" t="s">
        <v>411</v>
      </c>
      <c r="K14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40" s="4"/>
      <c r="M140" s="4"/>
      <c r="N140" s="4"/>
      <c r="O140" s="4"/>
      <c r="P140" s="4">
        <f>MAX(Table1[[#This Row],['#Protection Partners]:['# MA Partners]])</f>
        <v>0</v>
      </c>
      <c r="Q140" s="35">
        <f>IF(Table1[[#This Row],[OVERALL PARTNERS]]&lt;=0,1,IF(Table1[[#This Row],[OVERALL PARTNERS]]&lt;6,0.5,IF(Table1[[#This Row],[OVERALL PARTNERS]]&lt;10,0,0)))</f>
        <v>1</v>
      </c>
      <c r="R140" s="4"/>
      <c r="S140" s="4"/>
      <c r="T140" s="4"/>
      <c r="U140" s="4"/>
      <c r="V140" s="13">
        <f>MAX(Table1[[#This Row],[People Reached Protection]:[People Reached MA]])/Table1[[#This Row],[2025 - Targets]]</f>
        <v>0</v>
      </c>
      <c r="W140" s="34">
        <f>IF(Table1[[#This Row],[OVERALL REACHED]]&gt;50%,0,IF(Table1[[#This Row],[OVERALL REACHED]]&gt;0%,1,2))</f>
        <v>2</v>
      </c>
      <c r="X140" s="37">
        <f>SUM(Table1[[#This Row],[ACCESS SCORE]],Table1[[#This Row],[PARTNER PRESENCE SCORE]],Table1[[#This Row],[''Neglected'' LOCATION SCORE (REACHED)]])</f>
        <v>5</v>
      </c>
      <c r="Y14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0" s="13" cm="1">
        <f t="array" ref="Z140">_xlfn.XLOOKUP(Table1[[#This Row],[2026 - Final Severity of Needs]]&amp;Table1[[#This Row],[Priority]],'2. Lookup'!A:A&amp;'2. Lookup'!B:B,'2. Lookup'!C:C,0)</f>
        <v>0.1</v>
      </c>
      <c r="AA140" s="49">
        <f>Table1[[#This Row],[Target Coverage]]*Table1[[#This Row],[2026 - PiN]]</f>
        <v>4209</v>
      </c>
      <c r="AB140" s="49">
        <f>IFERROR(Table1[[#This Row],[Target Coverage]]*Table1[[#This Row],[ IDPs ]],0)</f>
        <v>4132</v>
      </c>
      <c r="AC140" s="49">
        <f>IFERROR(Table1[[#This Row],[Target Coverage]]*Table1[[#This Row],[ Returnees ]],0)</f>
        <v>0</v>
      </c>
      <c r="AD140" s="49">
        <f>IFERROR(Table1[[#This Row],[Target Coverage]]*Table1[[#This Row],[ Refugees in Sudan ]],0)</f>
        <v>77</v>
      </c>
    </row>
    <row r="141" spans="1:30" x14ac:dyDescent="0.25">
      <c r="A141" s="1" t="s">
        <v>293</v>
      </c>
      <c r="B141" s="1" t="s">
        <v>296</v>
      </c>
      <c r="C141" s="1" t="s">
        <v>297</v>
      </c>
      <c r="D141" s="2">
        <v>70106</v>
      </c>
      <c r="E141" s="1" t="s">
        <v>23</v>
      </c>
      <c r="F141" s="2">
        <v>11386</v>
      </c>
      <c r="G141" s="2">
        <f>SUM(Table1[[#This Row],[ IDPs ]:[ Refugees in Sudan ]])</f>
        <v>81492</v>
      </c>
      <c r="H141" s="30">
        <v>5</v>
      </c>
      <c r="I141" s="2">
        <v>188599</v>
      </c>
      <c r="J141" s="4" t="s">
        <v>414</v>
      </c>
      <c r="K14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41" s="4"/>
      <c r="M141" s="4"/>
      <c r="N141" s="4"/>
      <c r="O141" s="4"/>
      <c r="P141" s="4">
        <f>MAX(Table1[[#This Row],['#Protection Partners]:['# MA Partners]])</f>
        <v>0</v>
      </c>
      <c r="Q141" s="35">
        <f>IF(Table1[[#This Row],[OVERALL PARTNERS]]&lt;=0,1,IF(Table1[[#This Row],[OVERALL PARTNERS]]&lt;6,0.5,IF(Table1[[#This Row],[OVERALL PARTNERS]]&lt;10,0,0)))</f>
        <v>1</v>
      </c>
      <c r="R141" s="4"/>
      <c r="S141" s="4"/>
      <c r="T141" s="4"/>
      <c r="U141" s="4"/>
      <c r="V141" s="13">
        <f>MAX(Table1[[#This Row],[People Reached Protection]:[People Reached MA]])/Table1[[#This Row],[2025 - Targets]]</f>
        <v>0</v>
      </c>
      <c r="W141" s="34">
        <f>IF(Table1[[#This Row],[OVERALL REACHED]]&gt;50%,0,IF(Table1[[#This Row],[OVERALL REACHED]]&gt;0%,1,2))</f>
        <v>2</v>
      </c>
      <c r="X141" s="37">
        <f>SUM(Table1[[#This Row],[ACCESS SCORE]],Table1[[#This Row],[PARTNER PRESENCE SCORE]],Table1[[#This Row],[''Neglected'' LOCATION SCORE (REACHED)]])</f>
        <v>4</v>
      </c>
      <c r="Y14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1" s="13" cm="1">
        <f t="array" ref="Z141">_xlfn.XLOOKUP(Table1[[#This Row],[2026 - Final Severity of Needs]]&amp;Table1[[#This Row],[Priority]],'2. Lookup'!A:A&amp;'2. Lookup'!B:B,'2. Lookup'!C:C,0)</f>
        <v>0.4</v>
      </c>
      <c r="AA141" s="49">
        <f>Table1[[#This Row],[Target Coverage]]*Table1[[#This Row],[2026 - PiN]]</f>
        <v>32596.800000000003</v>
      </c>
      <c r="AB141" s="49">
        <f>IFERROR(Table1[[#This Row],[Target Coverage]]*Table1[[#This Row],[ IDPs ]],0)</f>
        <v>28042.400000000001</v>
      </c>
      <c r="AC141" s="49">
        <f>IFERROR(Table1[[#This Row],[Target Coverage]]*Table1[[#This Row],[ Returnees ]],0)</f>
        <v>0</v>
      </c>
      <c r="AD141" s="49">
        <f>IFERROR(Table1[[#This Row],[Target Coverage]]*Table1[[#This Row],[ Refugees in Sudan ]],0)</f>
        <v>4554.4000000000005</v>
      </c>
    </row>
    <row r="142" spans="1:30" x14ac:dyDescent="0.25">
      <c r="A142" s="3" t="s">
        <v>293</v>
      </c>
      <c r="B142" s="3" t="s">
        <v>298</v>
      </c>
      <c r="C142" s="3" t="s">
        <v>299</v>
      </c>
      <c r="D142" s="4">
        <v>3968</v>
      </c>
      <c r="E142" s="3" t="s">
        <v>23</v>
      </c>
      <c r="F142" s="3" t="s">
        <v>24</v>
      </c>
      <c r="G142" s="4">
        <f>SUM(Table1[[#This Row],[ IDPs ]:[ Refugees in Sudan ]])</f>
        <v>3968</v>
      </c>
      <c r="H142" s="29">
        <v>3</v>
      </c>
      <c r="I142" s="4">
        <v>55302</v>
      </c>
      <c r="J142" s="4" t="s">
        <v>414</v>
      </c>
      <c r="K14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42" s="4"/>
      <c r="M142" s="4"/>
      <c r="N142" s="4"/>
      <c r="O142" s="4"/>
      <c r="P142" s="4">
        <f>MAX(Table1[[#This Row],['#Protection Partners]:['# MA Partners]])</f>
        <v>0</v>
      </c>
      <c r="Q142" s="35">
        <f>IF(Table1[[#This Row],[OVERALL PARTNERS]]&lt;=0,1,IF(Table1[[#This Row],[OVERALL PARTNERS]]&lt;6,0.5,IF(Table1[[#This Row],[OVERALL PARTNERS]]&lt;10,0,0)))</f>
        <v>1</v>
      </c>
      <c r="R142" s="4"/>
      <c r="S142" s="4"/>
      <c r="T142" s="4"/>
      <c r="U142" s="4"/>
      <c r="V142" s="13">
        <f>MAX(Table1[[#This Row],[People Reached Protection]:[People Reached MA]])/Table1[[#This Row],[2025 - Targets]]</f>
        <v>0</v>
      </c>
      <c r="W142" s="34">
        <f>IF(Table1[[#This Row],[OVERALL REACHED]]&gt;50%,0,IF(Table1[[#This Row],[OVERALL REACHED]]&gt;0%,1,2))</f>
        <v>2</v>
      </c>
      <c r="X142" s="37">
        <f>SUM(Table1[[#This Row],[ACCESS SCORE]],Table1[[#This Row],[PARTNER PRESENCE SCORE]],Table1[[#This Row],[''Neglected'' LOCATION SCORE (REACHED)]])</f>
        <v>4</v>
      </c>
      <c r="Y14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2" s="13" cm="1">
        <f t="array" ref="Z142">_xlfn.XLOOKUP(Table1[[#This Row],[2026 - Final Severity of Needs]]&amp;Table1[[#This Row],[Priority]],'2. Lookup'!A:A&amp;'2. Lookup'!B:B,'2. Lookup'!C:C,0)</f>
        <v>0.1</v>
      </c>
      <c r="AA142" s="49">
        <f>Table1[[#This Row],[Target Coverage]]*Table1[[#This Row],[2026 - PiN]]</f>
        <v>396.8</v>
      </c>
      <c r="AB142" s="49">
        <f>IFERROR(Table1[[#This Row],[Target Coverage]]*Table1[[#This Row],[ IDPs ]],0)</f>
        <v>396.8</v>
      </c>
      <c r="AC142" s="49">
        <f>IFERROR(Table1[[#This Row],[Target Coverage]]*Table1[[#This Row],[ Returnees ]],0)</f>
        <v>0</v>
      </c>
      <c r="AD142" s="49">
        <f>IFERROR(Table1[[#This Row],[Target Coverage]]*Table1[[#This Row],[ Refugees in Sudan ]],0)</f>
        <v>0</v>
      </c>
    </row>
    <row r="143" spans="1:30" x14ac:dyDescent="0.25">
      <c r="A143" s="1" t="s">
        <v>293</v>
      </c>
      <c r="B143" s="1" t="s">
        <v>300</v>
      </c>
      <c r="C143" s="1" t="s">
        <v>301</v>
      </c>
      <c r="D143" s="2">
        <v>30747</v>
      </c>
      <c r="E143" s="1" t="s">
        <v>23</v>
      </c>
      <c r="F143" s="1" t="s">
        <v>24</v>
      </c>
      <c r="G143" s="2">
        <f>SUM(Table1[[#This Row],[ IDPs ]:[ Refugees in Sudan ]])</f>
        <v>30747</v>
      </c>
      <c r="H143" s="30">
        <v>5</v>
      </c>
      <c r="I143" s="2">
        <v>82278</v>
      </c>
      <c r="J143" s="4" t="s">
        <v>413</v>
      </c>
      <c r="K14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43" s="4"/>
      <c r="M143" s="4"/>
      <c r="N143" s="4"/>
      <c r="O143" s="4"/>
      <c r="P143" s="4">
        <f>MAX(Table1[[#This Row],['#Protection Partners]:['# MA Partners]])</f>
        <v>0</v>
      </c>
      <c r="Q143" s="35">
        <f>IF(Table1[[#This Row],[OVERALL PARTNERS]]&lt;=0,1,IF(Table1[[#This Row],[OVERALL PARTNERS]]&lt;6,0.5,IF(Table1[[#This Row],[OVERALL PARTNERS]]&lt;10,0,0)))</f>
        <v>1</v>
      </c>
      <c r="R143" s="4"/>
      <c r="S143" s="4"/>
      <c r="T143" s="4"/>
      <c r="U143" s="4"/>
      <c r="V143" s="13">
        <f>MAX(Table1[[#This Row],[People Reached Protection]:[People Reached MA]])/Table1[[#This Row],[2025 - Targets]]</f>
        <v>0</v>
      </c>
      <c r="W143" s="34">
        <f>IF(Table1[[#This Row],[OVERALL REACHED]]&gt;50%,0,IF(Table1[[#This Row],[OVERALL REACHED]]&gt;0%,1,2))</f>
        <v>2</v>
      </c>
      <c r="X143" s="37">
        <f>SUM(Table1[[#This Row],[ACCESS SCORE]],Table1[[#This Row],[PARTNER PRESENCE SCORE]],Table1[[#This Row],[''Neglected'' LOCATION SCORE (REACHED)]])</f>
        <v>4</v>
      </c>
      <c r="Y14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3" s="13" cm="1">
        <f t="array" ref="Z143">_xlfn.XLOOKUP(Table1[[#This Row],[2026 - Final Severity of Needs]]&amp;Table1[[#This Row],[Priority]],'2. Lookup'!A:A&amp;'2. Lookup'!B:B,'2. Lookup'!C:C,0)</f>
        <v>0.4</v>
      </c>
      <c r="AA143" s="49">
        <f>Table1[[#This Row],[Target Coverage]]*Table1[[#This Row],[2026 - PiN]]</f>
        <v>12298.800000000001</v>
      </c>
      <c r="AB143" s="49">
        <f>IFERROR(Table1[[#This Row],[Target Coverage]]*Table1[[#This Row],[ IDPs ]],0)</f>
        <v>12298.800000000001</v>
      </c>
      <c r="AC143" s="49">
        <f>IFERROR(Table1[[#This Row],[Target Coverage]]*Table1[[#This Row],[ Returnees ]],0)</f>
        <v>0</v>
      </c>
      <c r="AD143" s="49">
        <f>IFERROR(Table1[[#This Row],[Target Coverage]]*Table1[[#This Row],[ Refugees in Sudan ]],0)</f>
        <v>0</v>
      </c>
    </row>
    <row r="144" spans="1:30" x14ac:dyDescent="0.25">
      <c r="A144" s="3" t="s">
        <v>293</v>
      </c>
      <c r="B144" s="3" t="s">
        <v>302</v>
      </c>
      <c r="C144" s="3" t="s">
        <v>303</v>
      </c>
      <c r="D144" s="4">
        <v>6548</v>
      </c>
      <c r="E144" s="3" t="s">
        <v>23</v>
      </c>
      <c r="F144" s="3" t="s">
        <v>24</v>
      </c>
      <c r="G144" s="4">
        <f>SUM(Table1[[#This Row],[ IDPs ]:[ Refugees in Sudan ]])</f>
        <v>6548</v>
      </c>
      <c r="H144" s="29">
        <v>3</v>
      </c>
      <c r="I144" s="4">
        <v>48403</v>
      </c>
      <c r="J144" s="4" t="s">
        <v>414</v>
      </c>
      <c r="K14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44" s="4"/>
      <c r="M144" s="4"/>
      <c r="N144" s="4"/>
      <c r="O144" s="4"/>
      <c r="P144" s="4">
        <f>MAX(Table1[[#This Row],['#Protection Partners]:['# MA Partners]])</f>
        <v>0</v>
      </c>
      <c r="Q144" s="35">
        <f>IF(Table1[[#This Row],[OVERALL PARTNERS]]&lt;=0,1,IF(Table1[[#This Row],[OVERALL PARTNERS]]&lt;6,0.5,IF(Table1[[#This Row],[OVERALL PARTNERS]]&lt;10,0,0)))</f>
        <v>1</v>
      </c>
      <c r="R144" s="4"/>
      <c r="S144" s="4"/>
      <c r="T144" s="4"/>
      <c r="U144" s="4"/>
      <c r="V144" s="13">
        <f>MAX(Table1[[#This Row],[People Reached Protection]:[People Reached MA]])/Table1[[#This Row],[2025 - Targets]]</f>
        <v>0</v>
      </c>
      <c r="W144" s="34">
        <f>IF(Table1[[#This Row],[OVERALL REACHED]]&gt;50%,0,IF(Table1[[#This Row],[OVERALL REACHED]]&gt;0%,1,2))</f>
        <v>2</v>
      </c>
      <c r="X144" s="37">
        <f>SUM(Table1[[#This Row],[ACCESS SCORE]],Table1[[#This Row],[PARTNER PRESENCE SCORE]],Table1[[#This Row],[''Neglected'' LOCATION SCORE (REACHED)]])</f>
        <v>4</v>
      </c>
      <c r="Y14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4" s="13" cm="1">
        <f t="array" ref="Z144">_xlfn.XLOOKUP(Table1[[#This Row],[2026 - Final Severity of Needs]]&amp;Table1[[#This Row],[Priority]],'2. Lookup'!A:A&amp;'2. Lookup'!B:B,'2. Lookup'!C:C,0)</f>
        <v>0.1</v>
      </c>
      <c r="AA144" s="49">
        <f>Table1[[#This Row],[Target Coverage]]*Table1[[#This Row],[2026 - PiN]]</f>
        <v>654.80000000000007</v>
      </c>
      <c r="AB144" s="49">
        <f>IFERROR(Table1[[#This Row],[Target Coverage]]*Table1[[#This Row],[ IDPs ]],0)</f>
        <v>654.80000000000007</v>
      </c>
      <c r="AC144" s="49">
        <f>IFERROR(Table1[[#This Row],[Target Coverage]]*Table1[[#This Row],[ Returnees ]],0)</f>
        <v>0</v>
      </c>
      <c r="AD144" s="49">
        <f>IFERROR(Table1[[#This Row],[Target Coverage]]*Table1[[#This Row],[ Refugees in Sudan ]],0)</f>
        <v>0</v>
      </c>
    </row>
    <row r="145" spans="1:30" x14ac:dyDescent="0.25">
      <c r="A145" s="1" t="s">
        <v>293</v>
      </c>
      <c r="B145" s="1" t="s">
        <v>304</v>
      </c>
      <c r="C145" s="1" t="s">
        <v>305</v>
      </c>
      <c r="D145" s="2">
        <v>15281</v>
      </c>
      <c r="E145" s="1" t="s">
        <v>23</v>
      </c>
      <c r="F145" s="1" t="s">
        <v>24</v>
      </c>
      <c r="G145" s="2">
        <f>SUM(Table1[[#This Row],[ IDPs ]:[ Refugees in Sudan ]])</f>
        <v>15281</v>
      </c>
      <c r="H145" s="30">
        <v>3</v>
      </c>
      <c r="I145" s="2">
        <v>37582</v>
      </c>
      <c r="J145" s="4" t="s">
        <v>411</v>
      </c>
      <c r="K14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45" s="4"/>
      <c r="M145" s="4"/>
      <c r="N145" s="4"/>
      <c r="O145" s="4"/>
      <c r="P145" s="4">
        <f>MAX(Table1[[#This Row],['#Protection Partners]:['# MA Partners]])</f>
        <v>0</v>
      </c>
      <c r="Q145" s="35">
        <f>IF(Table1[[#This Row],[OVERALL PARTNERS]]&lt;=0,1,IF(Table1[[#This Row],[OVERALL PARTNERS]]&lt;6,0.5,IF(Table1[[#This Row],[OVERALL PARTNERS]]&lt;10,0,0)))</f>
        <v>1</v>
      </c>
      <c r="R145" s="4"/>
      <c r="S145" s="4"/>
      <c r="T145" s="4"/>
      <c r="U145" s="4"/>
      <c r="V145" s="13">
        <f>MAX(Table1[[#This Row],[People Reached Protection]:[People Reached MA]])/Table1[[#This Row],[2025 - Targets]]</f>
        <v>0</v>
      </c>
      <c r="W145" s="34">
        <f>IF(Table1[[#This Row],[OVERALL REACHED]]&gt;50%,0,IF(Table1[[#This Row],[OVERALL REACHED]]&gt;0%,1,2))</f>
        <v>2</v>
      </c>
      <c r="X145" s="37">
        <f>SUM(Table1[[#This Row],[ACCESS SCORE]],Table1[[#This Row],[PARTNER PRESENCE SCORE]],Table1[[#This Row],[''Neglected'' LOCATION SCORE (REACHED)]])</f>
        <v>5</v>
      </c>
      <c r="Y14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5" s="13" cm="1">
        <f t="array" ref="Z145">_xlfn.XLOOKUP(Table1[[#This Row],[2026 - Final Severity of Needs]]&amp;Table1[[#This Row],[Priority]],'2. Lookup'!A:A&amp;'2. Lookup'!B:B,'2. Lookup'!C:C,0)</f>
        <v>0.1</v>
      </c>
      <c r="AA145" s="49">
        <f>Table1[[#This Row],[Target Coverage]]*Table1[[#This Row],[2026 - PiN]]</f>
        <v>1528.1000000000001</v>
      </c>
      <c r="AB145" s="49">
        <f>IFERROR(Table1[[#This Row],[Target Coverage]]*Table1[[#This Row],[ IDPs ]],0)</f>
        <v>1528.1000000000001</v>
      </c>
      <c r="AC145" s="49">
        <f>IFERROR(Table1[[#This Row],[Target Coverage]]*Table1[[#This Row],[ Returnees ]],0)</f>
        <v>0</v>
      </c>
      <c r="AD145" s="49">
        <f>IFERROR(Table1[[#This Row],[Target Coverage]]*Table1[[#This Row],[ Refugees in Sudan ]],0)</f>
        <v>0</v>
      </c>
    </row>
    <row r="146" spans="1:30" x14ac:dyDescent="0.25">
      <c r="A146" s="3" t="s">
        <v>293</v>
      </c>
      <c r="B146" s="3" t="s">
        <v>306</v>
      </c>
      <c r="C146" s="3" t="s">
        <v>307</v>
      </c>
      <c r="D146" s="4">
        <v>10770</v>
      </c>
      <c r="E146" s="3" t="s">
        <v>23</v>
      </c>
      <c r="F146" s="3" t="s">
        <v>24</v>
      </c>
      <c r="G146" s="4">
        <f>SUM(Table1[[#This Row],[ IDPs ]:[ Refugees in Sudan ]])</f>
        <v>10770</v>
      </c>
      <c r="H146" s="29">
        <v>4</v>
      </c>
      <c r="I146" s="4">
        <v>41154</v>
      </c>
      <c r="J146" s="4" t="s">
        <v>411</v>
      </c>
      <c r="K14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46" s="4"/>
      <c r="M146" s="4"/>
      <c r="N146" s="4"/>
      <c r="O146" s="4"/>
      <c r="P146" s="4">
        <f>MAX(Table1[[#This Row],['#Protection Partners]:['# MA Partners]])</f>
        <v>0</v>
      </c>
      <c r="Q146" s="35">
        <f>IF(Table1[[#This Row],[OVERALL PARTNERS]]&lt;=0,1,IF(Table1[[#This Row],[OVERALL PARTNERS]]&lt;6,0.5,IF(Table1[[#This Row],[OVERALL PARTNERS]]&lt;10,0,0)))</f>
        <v>1</v>
      </c>
      <c r="R146" s="4"/>
      <c r="S146" s="4"/>
      <c r="T146" s="4"/>
      <c r="U146" s="4"/>
      <c r="V146" s="13">
        <f>MAX(Table1[[#This Row],[People Reached Protection]:[People Reached MA]])/Table1[[#This Row],[2025 - Targets]]</f>
        <v>0</v>
      </c>
      <c r="W146" s="34">
        <f>IF(Table1[[#This Row],[OVERALL REACHED]]&gt;50%,0,IF(Table1[[#This Row],[OVERALL REACHED]]&gt;0%,1,2))</f>
        <v>2</v>
      </c>
      <c r="X146" s="37">
        <f>SUM(Table1[[#This Row],[ACCESS SCORE]],Table1[[#This Row],[PARTNER PRESENCE SCORE]],Table1[[#This Row],[''Neglected'' LOCATION SCORE (REACHED)]])</f>
        <v>5</v>
      </c>
      <c r="Y14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6" s="13" cm="1">
        <f t="array" ref="Z146">_xlfn.XLOOKUP(Table1[[#This Row],[2026 - Final Severity of Needs]]&amp;Table1[[#This Row],[Priority]],'2. Lookup'!A:A&amp;'2. Lookup'!B:B,'2. Lookup'!C:C,0)</f>
        <v>0.2</v>
      </c>
      <c r="AA146" s="49">
        <f>Table1[[#This Row],[Target Coverage]]*Table1[[#This Row],[2026 - PiN]]</f>
        <v>2154</v>
      </c>
      <c r="AB146" s="49">
        <f>IFERROR(Table1[[#This Row],[Target Coverage]]*Table1[[#This Row],[ IDPs ]],0)</f>
        <v>2154</v>
      </c>
      <c r="AC146" s="49">
        <f>IFERROR(Table1[[#This Row],[Target Coverage]]*Table1[[#This Row],[ Returnees ]],0)</f>
        <v>0</v>
      </c>
      <c r="AD146" s="49">
        <f>IFERROR(Table1[[#This Row],[Target Coverage]]*Table1[[#This Row],[ Refugees in Sudan ]],0)</f>
        <v>0</v>
      </c>
    </row>
    <row r="147" spans="1:30" x14ac:dyDescent="0.25">
      <c r="A147" s="1" t="s">
        <v>293</v>
      </c>
      <c r="B147" s="1" t="s">
        <v>291</v>
      </c>
      <c r="C147" s="1" t="s">
        <v>308</v>
      </c>
      <c r="D147" s="2">
        <v>35453</v>
      </c>
      <c r="E147" s="1" t="s">
        <v>23</v>
      </c>
      <c r="F147" s="2">
        <v>1216</v>
      </c>
      <c r="G147" s="2">
        <f>SUM(Table1[[#This Row],[ IDPs ]:[ Refugees in Sudan ]])</f>
        <v>36669</v>
      </c>
      <c r="H147" s="30">
        <v>4</v>
      </c>
      <c r="I147" s="2">
        <v>79124</v>
      </c>
      <c r="J147" s="4" t="s">
        <v>414</v>
      </c>
      <c r="K14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47" s="4"/>
      <c r="M147" s="4"/>
      <c r="N147" s="4"/>
      <c r="O147" s="4"/>
      <c r="P147" s="4">
        <f>MAX(Table1[[#This Row],['#Protection Partners]:['# MA Partners]])</f>
        <v>0</v>
      </c>
      <c r="Q147" s="35">
        <f>IF(Table1[[#This Row],[OVERALL PARTNERS]]&lt;=0,1,IF(Table1[[#This Row],[OVERALL PARTNERS]]&lt;6,0.5,IF(Table1[[#This Row],[OVERALL PARTNERS]]&lt;10,0,0)))</f>
        <v>1</v>
      </c>
      <c r="R147" s="4"/>
      <c r="S147" s="4"/>
      <c r="T147" s="4"/>
      <c r="U147" s="4"/>
      <c r="V147" s="13">
        <f>MAX(Table1[[#This Row],[People Reached Protection]:[People Reached MA]])/Table1[[#This Row],[2025 - Targets]]</f>
        <v>0</v>
      </c>
      <c r="W147" s="34">
        <f>IF(Table1[[#This Row],[OVERALL REACHED]]&gt;50%,0,IF(Table1[[#This Row],[OVERALL REACHED]]&gt;0%,1,2))</f>
        <v>2</v>
      </c>
      <c r="X147" s="37">
        <f>SUM(Table1[[#This Row],[ACCESS SCORE]],Table1[[#This Row],[PARTNER PRESENCE SCORE]],Table1[[#This Row],[''Neglected'' LOCATION SCORE (REACHED)]])</f>
        <v>4</v>
      </c>
      <c r="Y14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47" s="13" cm="1">
        <f t="array" ref="Z147">_xlfn.XLOOKUP(Table1[[#This Row],[2026 - Final Severity of Needs]]&amp;Table1[[#This Row],[Priority]],'2. Lookup'!A:A&amp;'2. Lookup'!B:B,'2. Lookup'!C:C,0)</f>
        <v>0.2</v>
      </c>
      <c r="AA147" s="49">
        <f>Table1[[#This Row],[Target Coverage]]*Table1[[#This Row],[2026 - PiN]]</f>
        <v>7333.8</v>
      </c>
      <c r="AB147" s="49">
        <f>IFERROR(Table1[[#This Row],[Target Coverage]]*Table1[[#This Row],[ IDPs ]],0)</f>
        <v>7090.6</v>
      </c>
      <c r="AC147" s="49">
        <f>IFERROR(Table1[[#This Row],[Target Coverage]]*Table1[[#This Row],[ Returnees ]],0)</f>
        <v>0</v>
      </c>
      <c r="AD147" s="49">
        <f>IFERROR(Table1[[#This Row],[Target Coverage]]*Table1[[#This Row],[ Refugees in Sudan ]],0)</f>
        <v>243.20000000000002</v>
      </c>
    </row>
    <row r="148" spans="1:30" x14ac:dyDescent="0.25">
      <c r="A148" s="3" t="s">
        <v>309</v>
      </c>
      <c r="B148" s="3" t="s">
        <v>310</v>
      </c>
      <c r="C148" s="3" t="s">
        <v>311</v>
      </c>
      <c r="D148" s="3">
        <v>470</v>
      </c>
      <c r="E148" s="4">
        <v>13071</v>
      </c>
      <c r="F148" s="3" t="s">
        <v>24</v>
      </c>
      <c r="G148" s="4">
        <f>SUM(Table1[[#This Row],[ IDPs ]:[ Refugees in Sudan ]])</f>
        <v>13541</v>
      </c>
      <c r="H148" s="29">
        <v>4</v>
      </c>
      <c r="I148" s="4">
        <v>81389</v>
      </c>
      <c r="J148" s="4" t="s">
        <v>412</v>
      </c>
      <c r="K14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48" s="4"/>
      <c r="M148" s="4"/>
      <c r="N148" s="4"/>
      <c r="O148" s="4"/>
      <c r="P148" s="4">
        <f>MAX(Table1[[#This Row],['#Protection Partners]:['# MA Partners]])</f>
        <v>0</v>
      </c>
      <c r="Q148" s="35">
        <f>IF(Table1[[#This Row],[OVERALL PARTNERS]]&lt;=0,1,IF(Table1[[#This Row],[OVERALL PARTNERS]]&lt;6,0.5,IF(Table1[[#This Row],[OVERALL PARTNERS]]&lt;10,0,0)))</f>
        <v>1</v>
      </c>
      <c r="R148" s="4"/>
      <c r="S148" s="4"/>
      <c r="T148" s="4"/>
      <c r="U148" s="4"/>
      <c r="V148" s="13">
        <f>MAX(Table1[[#This Row],[People Reached Protection]:[People Reached MA]])/Table1[[#This Row],[2025 - Targets]]</f>
        <v>0</v>
      </c>
      <c r="W148" s="34">
        <f>IF(Table1[[#This Row],[OVERALL REACHED]]&gt;50%,0,IF(Table1[[#This Row],[OVERALL REACHED]]&gt;0%,1,2))</f>
        <v>2</v>
      </c>
      <c r="X148" s="37">
        <f>SUM(Table1[[#This Row],[ACCESS SCORE]],Table1[[#This Row],[PARTNER PRESENCE SCORE]],Table1[[#This Row],[''Neglected'' LOCATION SCORE (REACHED)]])</f>
        <v>7</v>
      </c>
      <c r="Y14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48" s="13" cm="1">
        <f t="array" ref="Z148">_xlfn.XLOOKUP(Table1[[#This Row],[2026 - Final Severity of Needs]]&amp;Table1[[#This Row],[Priority]],'2. Lookup'!A:A&amp;'2. Lookup'!B:B,'2. Lookup'!C:C,0)</f>
        <v>0.4</v>
      </c>
      <c r="AA148" s="49">
        <f>Table1[[#This Row],[Target Coverage]]*Table1[[#This Row],[2026 - PiN]]</f>
        <v>5416.4000000000005</v>
      </c>
      <c r="AB148" s="49">
        <f>IFERROR(Table1[[#This Row],[Target Coverage]]*Table1[[#This Row],[ IDPs ]],0)</f>
        <v>188</v>
      </c>
      <c r="AC148" s="49">
        <f>IFERROR(Table1[[#This Row],[Target Coverage]]*Table1[[#This Row],[ Returnees ]],0)</f>
        <v>5228.4000000000005</v>
      </c>
      <c r="AD148" s="49">
        <f>IFERROR(Table1[[#This Row],[Target Coverage]]*Table1[[#This Row],[ Refugees in Sudan ]],0)</f>
        <v>0</v>
      </c>
    </row>
    <row r="149" spans="1:30" x14ac:dyDescent="0.25">
      <c r="A149" s="1" t="s">
        <v>309</v>
      </c>
      <c r="B149" s="1" t="s">
        <v>309</v>
      </c>
      <c r="C149" s="1" t="s">
        <v>312</v>
      </c>
      <c r="D149" s="2">
        <v>8319</v>
      </c>
      <c r="E149" s="2">
        <v>17715</v>
      </c>
      <c r="F149" s="1">
        <v>28</v>
      </c>
      <c r="G149" s="2">
        <f>SUM(Table1[[#This Row],[ IDPs ]:[ Refugees in Sudan ]])</f>
        <v>26062</v>
      </c>
      <c r="H149" s="30">
        <v>3</v>
      </c>
      <c r="I149" s="2">
        <v>201168</v>
      </c>
      <c r="J149" s="4" t="s">
        <v>410</v>
      </c>
      <c r="K14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49" s="4"/>
      <c r="M149" s="4"/>
      <c r="N149" s="4"/>
      <c r="O149" s="4"/>
      <c r="P149" s="4">
        <f>MAX(Table1[[#This Row],['#Protection Partners]:['# MA Partners]])</f>
        <v>0</v>
      </c>
      <c r="Q149" s="35">
        <f>IF(Table1[[#This Row],[OVERALL PARTNERS]]&lt;=0,1,IF(Table1[[#This Row],[OVERALL PARTNERS]]&lt;6,0.5,IF(Table1[[#This Row],[OVERALL PARTNERS]]&lt;10,0,0)))</f>
        <v>1</v>
      </c>
      <c r="R149" s="4"/>
      <c r="S149" s="4"/>
      <c r="T149" s="4"/>
      <c r="U149" s="4"/>
      <c r="V149" s="13">
        <f>MAX(Table1[[#This Row],[People Reached Protection]:[People Reached MA]])/Table1[[#This Row],[2025 - Targets]]</f>
        <v>0</v>
      </c>
      <c r="W149" s="34">
        <f>IF(Table1[[#This Row],[OVERALL REACHED]]&gt;50%,0,IF(Table1[[#This Row],[OVERALL REACHED]]&gt;0%,1,2))</f>
        <v>2</v>
      </c>
      <c r="X149" s="37">
        <f>SUM(Table1[[#This Row],[ACCESS SCORE]],Table1[[#This Row],[PARTNER PRESENCE SCORE]],Table1[[#This Row],[''Neglected'' LOCATION SCORE (REACHED)]])</f>
        <v>6</v>
      </c>
      <c r="Y14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49" s="13" cm="1">
        <f t="array" ref="Z149">_xlfn.XLOOKUP(Table1[[#This Row],[2026 - Final Severity of Needs]]&amp;Table1[[#This Row],[Priority]],'2. Lookup'!A:A&amp;'2. Lookup'!B:B,'2. Lookup'!C:C,0)</f>
        <v>0.2</v>
      </c>
      <c r="AA149" s="49">
        <f>Table1[[#This Row],[Target Coverage]]*Table1[[#This Row],[2026 - PiN]]</f>
        <v>5212.4000000000005</v>
      </c>
      <c r="AB149" s="49">
        <f>IFERROR(Table1[[#This Row],[Target Coverage]]*Table1[[#This Row],[ IDPs ]],0)</f>
        <v>1663.8000000000002</v>
      </c>
      <c r="AC149" s="49">
        <f>IFERROR(Table1[[#This Row],[Target Coverage]]*Table1[[#This Row],[ Returnees ]],0)</f>
        <v>3543</v>
      </c>
      <c r="AD149" s="49">
        <f>IFERROR(Table1[[#This Row],[Target Coverage]]*Table1[[#This Row],[ Refugees in Sudan ]],0)</f>
        <v>5.6000000000000005</v>
      </c>
    </row>
    <row r="150" spans="1:30" x14ac:dyDescent="0.25">
      <c r="A150" s="3" t="s">
        <v>309</v>
      </c>
      <c r="B150" s="3" t="s">
        <v>313</v>
      </c>
      <c r="C150" s="3" t="s">
        <v>314</v>
      </c>
      <c r="D150" s="4">
        <v>7197</v>
      </c>
      <c r="E150" s="4">
        <v>13594</v>
      </c>
      <c r="F150" s="3" t="s">
        <v>24</v>
      </c>
      <c r="G150" s="4">
        <f>SUM(Table1[[#This Row],[ IDPs ]:[ Refugees in Sudan ]])</f>
        <v>20791</v>
      </c>
      <c r="H150" s="29">
        <v>3</v>
      </c>
      <c r="I150" s="4">
        <v>75649</v>
      </c>
      <c r="J150" s="4" t="s">
        <v>411</v>
      </c>
      <c r="K15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50" s="4"/>
      <c r="M150" s="4"/>
      <c r="N150" s="4"/>
      <c r="O150" s="4"/>
      <c r="P150" s="4">
        <f>MAX(Table1[[#This Row],['#Protection Partners]:['# MA Partners]])</f>
        <v>0</v>
      </c>
      <c r="Q150" s="35">
        <f>IF(Table1[[#This Row],[OVERALL PARTNERS]]&lt;=0,1,IF(Table1[[#This Row],[OVERALL PARTNERS]]&lt;6,0.5,IF(Table1[[#This Row],[OVERALL PARTNERS]]&lt;10,0,0)))</f>
        <v>1</v>
      </c>
      <c r="R150" s="4"/>
      <c r="S150" s="4"/>
      <c r="T150" s="4"/>
      <c r="U150" s="4"/>
      <c r="V150" s="13">
        <f>MAX(Table1[[#This Row],[People Reached Protection]:[People Reached MA]])/Table1[[#This Row],[2025 - Targets]]</f>
        <v>0</v>
      </c>
      <c r="W150" s="34">
        <f>IF(Table1[[#This Row],[OVERALL REACHED]]&gt;50%,0,IF(Table1[[#This Row],[OVERALL REACHED]]&gt;0%,1,2))</f>
        <v>2</v>
      </c>
      <c r="X150" s="37">
        <f>SUM(Table1[[#This Row],[ACCESS SCORE]],Table1[[#This Row],[PARTNER PRESENCE SCORE]],Table1[[#This Row],[''Neglected'' LOCATION SCORE (REACHED)]])</f>
        <v>5</v>
      </c>
      <c r="Y15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50" s="13" cm="1">
        <f t="array" ref="Z150">_xlfn.XLOOKUP(Table1[[#This Row],[2026 - Final Severity of Needs]]&amp;Table1[[#This Row],[Priority]],'2. Lookup'!A:A&amp;'2. Lookup'!B:B,'2. Lookup'!C:C,0)</f>
        <v>0.1</v>
      </c>
      <c r="AA150" s="49">
        <f>Table1[[#This Row],[Target Coverage]]*Table1[[#This Row],[2026 - PiN]]</f>
        <v>2079.1</v>
      </c>
      <c r="AB150" s="49">
        <f>IFERROR(Table1[[#This Row],[Target Coverage]]*Table1[[#This Row],[ IDPs ]],0)</f>
        <v>719.7</v>
      </c>
      <c r="AC150" s="49">
        <f>IFERROR(Table1[[#This Row],[Target Coverage]]*Table1[[#This Row],[ Returnees ]],0)</f>
        <v>1359.4</v>
      </c>
      <c r="AD150" s="49">
        <f>IFERROR(Table1[[#This Row],[Target Coverage]]*Table1[[#This Row],[ Refugees in Sudan ]],0)</f>
        <v>0</v>
      </c>
    </row>
    <row r="151" spans="1:30" x14ac:dyDescent="0.25">
      <c r="A151" s="1" t="s">
        <v>309</v>
      </c>
      <c r="B151" s="1" t="s">
        <v>315</v>
      </c>
      <c r="C151" s="1" t="s">
        <v>316</v>
      </c>
      <c r="D151" s="2">
        <v>27952</v>
      </c>
      <c r="E151" s="2">
        <v>27035</v>
      </c>
      <c r="F151" s="2">
        <v>1972</v>
      </c>
      <c r="G151" s="2">
        <f>SUM(Table1[[#This Row],[ IDPs ]:[ Refugees in Sudan ]])</f>
        <v>56959</v>
      </c>
      <c r="H151" s="30">
        <v>3</v>
      </c>
      <c r="I151" s="2">
        <v>109506</v>
      </c>
      <c r="J151" s="4" t="s">
        <v>410</v>
      </c>
      <c r="K15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51" s="4"/>
      <c r="M151" s="4"/>
      <c r="N151" s="4"/>
      <c r="O151" s="4"/>
      <c r="P151" s="4">
        <f>MAX(Table1[[#This Row],['#Protection Partners]:['# MA Partners]])</f>
        <v>0</v>
      </c>
      <c r="Q151" s="35">
        <f>IF(Table1[[#This Row],[OVERALL PARTNERS]]&lt;=0,1,IF(Table1[[#This Row],[OVERALL PARTNERS]]&lt;6,0.5,IF(Table1[[#This Row],[OVERALL PARTNERS]]&lt;10,0,0)))</f>
        <v>1</v>
      </c>
      <c r="R151" s="4"/>
      <c r="S151" s="4"/>
      <c r="T151" s="4"/>
      <c r="U151" s="4"/>
      <c r="V151" s="13">
        <f>MAX(Table1[[#This Row],[People Reached Protection]:[People Reached MA]])/Table1[[#This Row],[2025 - Targets]]</f>
        <v>0</v>
      </c>
      <c r="W151" s="34">
        <f>IF(Table1[[#This Row],[OVERALL REACHED]]&gt;50%,0,IF(Table1[[#This Row],[OVERALL REACHED]]&gt;0%,1,2))</f>
        <v>2</v>
      </c>
      <c r="X151" s="37">
        <f>SUM(Table1[[#This Row],[ACCESS SCORE]],Table1[[#This Row],[PARTNER PRESENCE SCORE]],Table1[[#This Row],[''Neglected'' LOCATION SCORE (REACHED)]])</f>
        <v>6</v>
      </c>
      <c r="Y15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1" s="13" cm="1">
        <f t="array" ref="Z151">_xlfn.XLOOKUP(Table1[[#This Row],[2026 - Final Severity of Needs]]&amp;Table1[[#This Row],[Priority]],'2. Lookup'!A:A&amp;'2. Lookup'!B:B,'2. Lookup'!C:C,0)</f>
        <v>0.2</v>
      </c>
      <c r="AA151" s="49">
        <f>Table1[[#This Row],[Target Coverage]]*Table1[[#This Row],[2026 - PiN]]</f>
        <v>11391.800000000001</v>
      </c>
      <c r="AB151" s="49">
        <f>IFERROR(Table1[[#This Row],[Target Coverage]]*Table1[[#This Row],[ IDPs ]],0)</f>
        <v>5590.4000000000005</v>
      </c>
      <c r="AC151" s="49">
        <f>IFERROR(Table1[[#This Row],[Target Coverage]]*Table1[[#This Row],[ Returnees ]],0)</f>
        <v>5407</v>
      </c>
      <c r="AD151" s="49">
        <f>IFERROR(Table1[[#This Row],[Target Coverage]]*Table1[[#This Row],[ Refugees in Sudan ]],0)</f>
        <v>394.40000000000003</v>
      </c>
    </row>
    <row r="152" spans="1:30" x14ac:dyDescent="0.25">
      <c r="A152" s="3" t="s">
        <v>309</v>
      </c>
      <c r="B152" s="3" t="s">
        <v>317</v>
      </c>
      <c r="C152" s="3" t="s">
        <v>318</v>
      </c>
      <c r="D152" s="4">
        <v>23526</v>
      </c>
      <c r="E152" s="4">
        <v>68929</v>
      </c>
      <c r="F152" s="3" t="s">
        <v>24</v>
      </c>
      <c r="G152" s="4">
        <f>SUM(Table1[[#This Row],[ IDPs ]:[ Refugees in Sudan ]])</f>
        <v>92455</v>
      </c>
      <c r="H152" s="29">
        <v>3</v>
      </c>
      <c r="I152" s="4">
        <v>133986</v>
      </c>
      <c r="J152" s="4" t="s">
        <v>412</v>
      </c>
      <c r="K15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52" s="4"/>
      <c r="M152" s="4"/>
      <c r="N152" s="4"/>
      <c r="O152" s="4"/>
      <c r="P152" s="4">
        <f>MAX(Table1[[#This Row],['#Protection Partners]:['# MA Partners]])</f>
        <v>0</v>
      </c>
      <c r="Q152" s="35">
        <f>IF(Table1[[#This Row],[OVERALL PARTNERS]]&lt;=0,1,IF(Table1[[#This Row],[OVERALL PARTNERS]]&lt;6,0.5,IF(Table1[[#This Row],[OVERALL PARTNERS]]&lt;10,0,0)))</f>
        <v>1</v>
      </c>
      <c r="R152" s="4"/>
      <c r="S152" s="4"/>
      <c r="T152" s="4"/>
      <c r="U152" s="4"/>
      <c r="V152" s="13">
        <f>MAX(Table1[[#This Row],[People Reached Protection]:[People Reached MA]])/Table1[[#This Row],[2025 - Targets]]</f>
        <v>0</v>
      </c>
      <c r="W152" s="34">
        <f>IF(Table1[[#This Row],[OVERALL REACHED]]&gt;50%,0,IF(Table1[[#This Row],[OVERALL REACHED]]&gt;0%,1,2))</f>
        <v>2</v>
      </c>
      <c r="X152" s="37">
        <f>SUM(Table1[[#This Row],[ACCESS SCORE]],Table1[[#This Row],[PARTNER PRESENCE SCORE]],Table1[[#This Row],[''Neglected'' LOCATION SCORE (REACHED)]])</f>
        <v>7</v>
      </c>
      <c r="Y15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2" s="13" cm="1">
        <f t="array" ref="Z152">_xlfn.XLOOKUP(Table1[[#This Row],[2026 - Final Severity of Needs]]&amp;Table1[[#This Row],[Priority]],'2. Lookup'!A:A&amp;'2. Lookup'!B:B,'2. Lookup'!C:C,0)</f>
        <v>0.2</v>
      </c>
      <c r="AA152" s="49">
        <f>Table1[[#This Row],[Target Coverage]]*Table1[[#This Row],[2026 - PiN]]</f>
        <v>18491</v>
      </c>
      <c r="AB152" s="49">
        <f>IFERROR(Table1[[#This Row],[Target Coverage]]*Table1[[#This Row],[ IDPs ]],0)</f>
        <v>4705.2</v>
      </c>
      <c r="AC152" s="49">
        <f>IFERROR(Table1[[#This Row],[Target Coverage]]*Table1[[#This Row],[ Returnees ]],0)</f>
        <v>13785.800000000001</v>
      </c>
      <c r="AD152" s="49">
        <f>IFERROR(Table1[[#This Row],[Target Coverage]]*Table1[[#This Row],[ Refugees in Sudan ]],0)</f>
        <v>0</v>
      </c>
    </row>
    <row r="153" spans="1:30" x14ac:dyDescent="0.25">
      <c r="A153" s="1" t="s">
        <v>309</v>
      </c>
      <c r="B153" s="1" t="s">
        <v>319</v>
      </c>
      <c r="C153" s="1" t="s">
        <v>320</v>
      </c>
      <c r="D153" s="2">
        <v>9975</v>
      </c>
      <c r="E153" s="2">
        <v>5740</v>
      </c>
      <c r="F153" s="1" t="s">
        <v>24</v>
      </c>
      <c r="G153" s="2">
        <f>SUM(Table1[[#This Row],[ IDPs ]:[ Refugees in Sudan ]])</f>
        <v>15715</v>
      </c>
      <c r="H153" s="30">
        <v>2</v>
      </c>
      <c r="I153" s="2">
        <v>112025</v>
      </c>
      <c r="J153" s="4" t="s">
        <v>412</v>
      </c>
      <c r="K15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53" s="4"/>
      <c r="M153" s="4"/>
      <c r="N153" s="4"/>
      <c r="O153" s="4"/>
      <c r="P153" s="4">
        <f>MAX(Table1[[#This Row],['#Protection Partners]:['# MA Partners]])</f>
        <v>0</v>
      </c>
      <c r="Q153" s="35">
        <f>IF(Table1[[#This Row],[OVERALL PARTNERS]]&lt;=0,1,IF(Table1[[#This Row],[OVERALL PARTNERS]]&lt;6,0.5,IF(Table1[[#This Row],[OVERALL PARTNERS]]&lt;10,0,0)))</f>
        <v>1</v>
      </c>
      <c r="R153" s="4"/>
      <c r="S153" s="4"/>
      <c r="T153" s="4"/>
      <c r="U153" s="4"/>
      <c r="V153" s="13">
        <f>MAX(Table1[[#This Row],[People Reached Protection]:[People Reached MA]])/Table1[[#This Row],[2025 - Targets]]</f>
        <v>0</v>
      </c>
      <c r="W153" s="34">
        <f>IF(Table1[[#This Row],[OVERALL REACHED]]&gt;50%,0,IF(Table1[[#This Row],[OVERALL REACHED]]&gt;0%,1,2))</f>
        <v>2</v>
      </c>
      <c r="X153" s="37">
        <f>SUM(Table1[[#This Row],[ACCESS SCORE]],Table1[[#This Row],[PARTNER PRESENCE SCORE]],Table1[[#This Row],[''Neglected'' LOCATION SCORE (REACHED)]])</f>
        <v>7</v>
      </c>
      <c r="Y15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3" s="13" cm="1">
        <f t="array" ref="Z153">_xlfn.XLOOKUP(Table1[[#This Row],[2026 - Final Severity of Needs]]&amp;Table1[[#This Row],[Priority]],'2. Lookup'!A:A&amp;'2. Lookup'!B:B,'2. Lookup'!C:C,0)</f>
        <v>0</v>
      </c>
      <c r="AA153" s="49">
        <f>Table1[[#This Row],[Target Coverage]]*Table1[[#This Row],[2026 - PiN]]</f>
        <v>0</v>
      </c>
      <c r="AB153" s="49">
        <f>IFERROR(Table1[[#This Row],[Target Coverage]]*Table1[[#This Row],[ IDPs ]],0)</f>
        <v>0</v>
      </c>
      <c r="AC153" s="49">
        <f>IFERROR(Table1[[#This Row],[Target Coverage]]*Table1[[#This Row],[ Returnees ]],0)</f>
        <v>0</v>
      </c>
      <c r="AD153" s="49">
        <f>IFERROR(Table1[[#This Row],[Target Coverage]]*Table1[[#This Row],[ Refugees in Sudan ]],0)</f>
        <v>0</v>
      </c>
    </row>
    <row r="154" spans="1:30" x14ac:dyDescent="0.25">
      <c r="A154" s="3" t="s">
        <v>309</v>
      </c>
      <c r="B154" s="3" t="s">
        <v>321</v>
      </c>
      <c r="C154" s="3" t="s">
        <v>322</v>
      </c>
      <c r="D154" s="4">
        <v>14958</v>
      </c>
      <c r="E154" s="4">
        <v>32977</v>
      </c>
      <c r="F154" s="3" t="s">
        <v>24</v>
      </c>
      <c r="G154" s="4">
        <f>SUM(Table1[[#This Row],[ IDPs ]:[ Refugees in Sudan ]])</f>
        <v>47935</v>
      </c>
      <c r="H154" s="29">
        <v>3</v>
      </c>
      <c r="I154" s="4">
        <v>108999</v>
      </c>
      <c r="J154" s="4" t="s">
        <v>410</v>
      </c>
      <c r="K15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54" s="4"/>
      <c r="M154" s="4"/>
      <c r="N154" s="4"/>
      <c r="O154" s="4"/>
      <c r="P154" s="4">
        <f>MAX(Table1[[#This Row],['#Protection Partners]:['# MA Partners]])</f>
        <v>0</v>
      </c>
      <c r="Q154" s="35">
        <f>IF(Table1[[#This Row],[OVERALL PARTNERS]]&lt;=0,1,IF(Table1[[#This Row],[OVERALL PARTNERS]]&lt;6,0.5,IF(Table1[[#This Row],[OVERALL PARTNERS]]&lt;10,0,0)))</f>
        <v>1</v>
      </c>
      <c r="R154" s="4"/>
      <c r="S154" s="4"/>
      <c r="T154" s="4"/>
      <c r="U154" s="4"/>
      <c r="V154" s="13">
        <f>MAX(Table1[[#This Row],[People Reached Protection]:[People Reached MA]])/Table1[[#This Row],[2025 - Targets]]</f>
        <v>0</v>
      </c>
      <c r="W154" s="34">
        <f>IF(Table1[[#This Row],[OVERALL REACHED]]&gt;50%,0,IF(Table1[[#This Row],[OVERALL REACHED]]&gt;0%,1,2))</f>
        <v>2</v>
      </c>
      <c r="X154" s="37">
        <f>SUM(Table1[[#This Row],[ACCESS SCORE]],Table1[[#This Row],[PARTNER PRESENCE SCORE]],Table1[[#This Row],[''Neglected'' LOCATION SCORE (REACHED)]])</f>
        <v>6</v>
      </c>
      <c r="Y15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4" s="13" cm="1">
        <f t="array" ref="Z154">_xlfn.XLOOKUP(Table1[[#This Row],[2026 - Final Severity of Needs]]&amp;Table1[[#This Row],[Priority]],'2. Lookup'!A:A&amp;'2. Lookup'!B:B,'2. Lookup'!C:C,0)</f>
        <v>0.2</v>
      </c>
      <c r="AA154" s="49">
        <f>Table1[[#This Row],[Target Coverage]]*Table1[[#This Row],[2026 - PiN]]</f>
        <v>9587</v>
      </c>
      <c r="AB154" s="49">
        <f>IFERROR(Table1[[#This Row],[Target Coverage]]*Table1[[#This Row],[ IDPs ]],0)</f>
        <v>2991.6000000000004</v>
      </c>
      <c r="AC154" s="49">
        <f>IFERROR(Table1[[#This Row],[Target Coverage]]*Table1[[#This Row],[ Returnees ]],0)</f>
        <v>6595.4000000000005</v>
      </c>
      <c r="AD154" s="49">
        <f>IFERROR(Table1[[#This Row],[Target Coverage]]*Table1[[#This Row],[ Refugees in Sudan ]],0)</f>
        <v>0</v>
      </c>
    </row>
    <row r="155" spans="1:30" x14ac:dyDescent="0.25">
      <c r="A155" s="1" t="s">
        <v>323</v>
      </c>
      <c r="B155" s="1" t="s">
        <v>324</v>
      </c>
      <c r="C155" s="1" t="s">
        <v>325</v>
      </c>
      <c r="D155" s="2">
        <v>3927</v>
      </c>
      <c r="E155" s="2">
        <v>59930</v>
      </c>
      <c r="F155" s="1">
        <v>86</v>
      </c>
      <c r="G155" s="2">
        <f>SUM(Table1[[#This Row],[ IDPs ]:[ Refugees in Sudan ]])</f>
        <v>63943</v>
      </c>
      <c r="H155" s="30">
        <v>3</v>
      </c>
      <c r="I155" s="2">
        <v>59397</v>
      </c>
      <c r="J155" s="4" t="s">
        <v>410</v>
      </c>
      <c r="K15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55" s="4"/>
      <c r="M155" s="4"/>
      <c r="N155" s="4"/>
      <c r="O155" s="4"/>
      <c r="P155" s="4">
        <f>MAX(Table1[[#This Row],['#Protection Partners]:['# MA Partners]])</f>
        <v>0</v>
      </c>
      <c r="Q155" s="35">
        <f>IF(Table1[[#This Row],[OVERALL PARTNERS]]&lt;=0,1,IF(Table1[[#This Row],[OVERALL PARTNERS]]&lt;6,0.5,IF(Table1[[#This Row],[OVERALL PARTNERS]]&lt;10,0,0)))</f>
        <v>1</v>
      </c>
      <c r="R155" s="4"/>
      <c r="S155" s="4"/>
      <c r="T155" s="4"/>
      <c r="U155" s="4"/>
      <c r="V155" s="13">
        <f>MAX(Table1[[#This Row],[People Reached Protection]:[People Reached MA]])/Table1[[#This Row],[2025 - Targets]]</f>
        <v>0</v>
      </c>
      <c r="W155" s="34">
        <f>IF(Table1[[#This Row],[OVERALL REACHED]]&gt;50%,0,IF(Table1[[#This Row],[OVERALL REACHED]]&gt;0%,1,2))</f>
        <v>2</v>
      </c>
      <c r="X155" s="37">
        <f>SUM(Table1[[#This Row],[ACCESS SCORE]],Table1[[#This Row],[PARTNER PRESENCE SCORE]],Table1[[#This Row],[''Neglected'' LOCATION SCORE (REACHED)]])</f>
        <v>6</v>
      </c>
      <c r="Y15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5" s="13" cm="1">
        <f t="array" ref="Z155">_xlfn.XLOOKUP(Table1[[#This Row],[2026 - Final Severity of Needs]]&amp;Table1[[#This Row],[Priority]],'2. Lookup'!A:A&amp;'2. Lookup'!B:B,'2. Lookup'!C:C,0)</f>
        <v>0.2</v>
      </c>
      <c r="AA155" s="49">
        <f>Table1[[#This Row],[Target Coverage]]*Table1[[#This Row],[2026 - PiN]]</f>
        <v>12788.6</v>
      </c>
      <c r="AB155" s="49">
        <f>IFERROR(Table1[[#This Row],[Target Coverage]]*Table1[[#This Row],[ IDPs ]],0)</f>
        <v>785.40000000000009</v>
      </c>
      <c r="AC155" s="49">
        <f>IFERROR(Table1[[#This Row],[Target Coverage]]*Table1[[#This Row],[ Returnees ]],0)</f>
        <v>11986</v>
      </c>
      <c r="AD155" s="49">
        <f>IFERROR(Table1[[#This Row],[Target Coverage]]*Table1[[#This Row],[ Refugees in Sudan ]],0)</f>
        <v>17.2</v>
      </c>
    </row>
    <row r="156" spans="1:30" x14ac:dyDescent="0.25">
      <c r="A156" s="3" t="s">
        <v>323</v>
      </c>
      <c r="B156" s="3" t="s">
        <v>326</v>
      </c>
      <c r="C156" s="3" t="s">
        <v>327</v>
      </c>
      <c r="D156" s="4">
        <v>4865</v>
      </c>
      <c r="E156" s="4">
        <v>112380</v>
      </c>
      <c r="F156" s="3" t="s">
        <v>24</v>
      </c>
      <c r="G156" s="4">
        <f>SUM(Table1[[#This Row],[ IDPs ]:[ Refugees in Sudan ]])</f>
        <v>117245</v>
      </c>
      <c r="H156" s="29">
        <v>3</v>
      </c>
      <c r="I156" s="4">
        <v>158140</v>
      </c>
      <c r="J156" s="4" t="s">
        <v>410</v>
      </c>
      <c r="K15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56" s="4"/>
      <c r="M156" s="4"/>
      <c r="N156" s="4"/>
      <c r="O156" s="4"/>
      <c r="P156" s="4">
        <f>MAX(Table1[[#This Row],['#Protection Partners]:['# MA Partners]])</f>
        <v>0</v>
      </c>
      <c r="Q156" s="35">
        <f>IF(Table1[[#This Row],[OVERALL PARTNERS]]&lt;=0,1,IF(Table1[[#This Row],[OVERALL PARTNERS]]&lt;6,0.5,IF(Table1[[#This Row],[OVERALL PARTNERS]]&lt;10,0,0)))</f>
        <v>1</v>
      </c>
      <c r="R156" s="4"/>
      <c r="S156" s="4"/>
      <c r="T156" s="4"/>
      <c r="U156" s="4"/>
      <c r="V156" s="13">
        <f>MAX(Table1[[#This Row],[People Reached Protection]:[People Reached MA]])/Table1[[#This Row],[2025 - Targets]]</f>
        <v>0</v>
      </c>
      <c r="W156" s="34">
        <f>IF(Table1[[#This Row],[OVERALL REACHED]]&gt;50%,0,IF(Table1[[#This Row],[OVERALL REACHED]]&gt;0%,1,2))</f>
        <v>2</v>
      </c>
      <c r="X156" s="37">
        <f>SUM(Table1[[#This Row],[ACCESS SCORE]],Table1[[#This Row],[PARTNER PRESENCE SCORE]],Table1[[#This Row],[''Neglected'' LOCATION SCORE (REACHED)]])</f>
        <v>6</v>
      </c>
      <c r="Y15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6" s="13" cm="1">
        <f t="array" ref="Z156">_xlfn.XLOOKUP(Table1[[#This Row],[2026 - Final Severity of Needs]]&amp;Table1[[#This Row],[Priority]],'2. Lookup'!A:A&amp;'2. Lookup'!B:B,'2. Lookup'!C:C,0)</f>
        <v>0.2</v>
      </c>
      <c r="AA156" s="49">
        <f>Table1[[#This Row],[Target Coverage]]*Table1[[#This Row],[2026 - PiN]]</f>
        <v>23449</v>
      </c>
      <c r="AB156" s="49">
        <f>IFERROR(Table1[[#This Row],[Target Coverage]]*Table1[[#This Row],[ IDPs ]],0)</f>
        <v>973</v>
      </c>
      <c r="AC156" s="49">
        <f>IFERROR(Table1[[#This Row],[Target Coverage]]*Table1[[#This Row],[ Returnees ]],0)</f>
        <v>22476</v>
      </c>
      <c r="AD156" s="49">
        <f>IFERROR(Table1[[#This Row],[Target Coverage]]*Table1[[#This Row],[ Refugees in Sudan ]],0)</f>
        <v>0</v>
      </c>
    </row>
    <row r="157" spans="1:30" x14ac:dyDescent="0.25">
      <c r="A157" s="1" t="s">
        <v>323</v>
      </c>
      <c r="B157" s="1" t="s">
        <v>328</v>
      </c>
      <c r="C157" s="1" t="s">
        <v>329</v>
      </c>
      <c r="D157" s="2">
        <v>11805</v>
      </c>
      <c r="E157" s="2">
        <v>310605</v>
      </c>
      <c r="F157" s="1">
        <v>509</v>
      </c>
      <c r="G157" s="2">
        <f>SUM(Table1[[#This Row],[ IDPs ]:[ Refugees in Sudan ]])</f>
        <v>322919</v>
      </c>
      <c r="H157" s="30">
        <v>3</v>
      </c>
      <c r="I157" s="2">
        <v>87800</v>
      </c>
      <c r="J157" s="4" t="s">
        <v>410</v>
      </c>
      <c r="K15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57" s="4"/>
      <c r="M157" s="4"/>
      <c r="N157" s="4"/>
      <c r="O157" s="4"/>
      <c r="P157" s="4">
        <f>MAX(Table1[[#This Row],['#Protection Partners]:['# MA Partners]])</f>
        <v>0</v>
      </c>
      <c r="Q157" s="35">
        <f>IF(Table1[[#This Row],[OVERALL PARTNERS]]&lt;=0,1,IF(Table1[[#This Row],[OVERALL PARTNERS]]&lt;6,0.5,IF(Table1[[#This Row],[OVERALL PARTNERS]]&lt;10,0,0)))</f>
        <v>1</v>
      </c>
      <c r="R157" s="4"/>
      <c r="S157" s="4"/>
      <c r="T157" s="4"/>
      <c r="U157" s="4"/>
      <c r="V157" s="13">
        <f>MAX(Table1[[#This Row],[People Reached Protection]:[People Reached MA]])/Table1[[#This Row],[2025 - Targets]]</f>
        <v>0</v>
      </c>
      <c r="W157" s="34">
        <f>IF(Table1[[#This Row],[OVERALL REACHED]]&gt;50%,0,IF(Table1[[#This Row],[OVERALL REACHED]]&gt;0%,1,2))</f>
        <v>2</v>
      </c>
      <c r="X157" s="37">
        <f>SUM(Table1[[#This Row],[ACCESS SCORE]],Table1[[#This Row],[PARTNER PRESENCE SCORE]],Table1[[#This Row],[''Neglected'' LOCATION SCORE (REACHED)]])</f>
        <v>6</v>
      </c>
      <c r="Y15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7" s="13" cm="1">
        <f t="array" ref="Z157">_xlfn.XLOOKUP(Table1[[#This Row],[2026 - Final Severity of Needs]]&amp;Table1[[#This Row],[Priority]],'2. Lookup'!A:A&amp;'2. Lookup'!B:B,'2. Lookup'!C:C,0)</f>
        <v>0.2</v>
      </c>
      <c r="AA157" s="49">
        <f>Table1[[#This Row],[Target Coverage]]*Table1[[#This Row],[2026 - PiN]]</f>
        <v>64583.8</v>
      </c>
      <c r="AB157" s="49">
        <f>IFERROR(Table1[[#This Row],[Target Coverage]]*Table1[[#This Row],[ IDPs ]],0)</f>
        <v>2361</v>
      </c>
      <c r="AC157" s="49">
        <f>IFERROR(Table1[[#This Row],[Target Coverage]]*Table1[[#This Row],[ Returnees ]],0)</f>
        <v>62121</v>
      </c>
      <c r="AD157" s="49">
        <f>IFERROR(Table1[[#This Row],[Target Coverage]]*Table1[[#This Row],[ Refugees in Sudan ]],0)</f>
        <v>101.80000000000001</v>
      </c>
    </row>
    <row r="158" spans="1:30" x14ac:dyDescent="0.25">
      <c r="A158" s="3" t="s">
        <v>323</v>
      </c>
      <c r="B158" s="3" t="s">
        <v>330</v>
      </c>
      <c r="C158" s="3" t="s">
        <v>331</v>
      </c>
      <c r="D158" s="4">
        <v>2355</v>
      </c>
      <c r="E158" s="4">
        <v>388540</v>
      </c>
      <c r="F158" s="3">
        <v>103</v>
      </c>
      <c r="G158" s="4">
        <f>SUM(Table1[[#This Row],[ IDPs ]:[ Refugees in Sudan ]])</f>
        <v>390998</v>
      </c>
      <c r="H158" s="29">
        <v>3</v>
      </c>
      <c r="I158" s="4">
        <v>139002</v>
      </c>
      <c r="J158" s="4" t="s">
        <v>411</v>
      </c>
      <c r="K15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58" s="4"/>
      <c r="M158" s="4"/>
      <c r="N158" s="4"/>
      <c r="O158" s="4"/>
      <c r="P158" s="4">
        <f>MAX(Table1[[#This Row],['#Protection Partners]:['# MA Partners]])</f>
        <v>0</v>
      </c>
      <c r="Q158" s="35">
        <f>IF(Table1[[#This Row],[OVERALL PARTNERS]]&lt;=0,1,IF(Table1[[#This Row],[OVERALL PARTNERS]]&lt;6,0.5,IF(Table1[[#This Row],[OVERALL PARTNERS]]&lt;10,0,0)))</f>
        <v>1</v>
      </c>
      <c r="R158" s="4"/>
      <c r="S158" s="4"/>
      <c r="T158" s="4"/>
      <c r="U158" s="4"/>
      <c r="V158" s="13">
        <f>MAX(Table1[[#This Row],[People Reached Protection]:[People Reached MA]])/Table1[[#This Row],[2025 - Targets]]</f>
        <v>0</v>
      </c>
      <c r="W158" s="34">
        <f>IF(Table1[[#This Row],[OVERALL REACHED]]&gt;50%,0,IF(Table1[[#This Row],[OVERALL REACHED]]&gt;0%,1,2))</f>
        <v>2</v>
      </c>
      <c r="X158" s="37">
        <f>SUM(Table1[[#This Row],[ACCESS SCORE]],Table1[[#This Row],[PARTNER PRESENCE SCORE]],Table1[[#This Row],[''Neglected'' LOCATION SCORE (REACHED)]])</f>
        <v>5</v>
      </c>
      <c r="Y15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58" s="13" cm="1">
        <f t="array" ref="Z158">_xlfn.XLOOKUP(Table1[[#This Row],[2026 - Final Severity of Needs]]&amp;Table1[[#This Row],[Priority]],'2. Lookup'!A:A&amp;'2. Lookup'!B:B,'2. Lookup'!C:C,0)</f>
        <v>0.1</v>
      </c>
      <c r="AA158" s="49">
        <f>Table1[[#This Row],[Target Coverage]]*Table1[[#This Row],[2026 - PiN]]</f>
        <v>39099.800000000003</v>
      </c>
      <c r="AB158" s="49">
        <f>IFERROR(Table1[[#This Row],[Target Coverage]]*Table1[[#This Row],[ IDPs ]],0)</f>
        <v>235.5</v>
      </c>
      <c r="AC158" s="49">
        <f>IFERROR(Table1[[#This Row],[Target Coverage]]*Table1[[#This Row],[ Returnees ]],0)</f>
        <v>38854</v>
      </c>
      <c r="AD158" s="49">
        <f>IFERROR(Table1[[#This Row],[Target Coverage]]*Table1[[#This Row],[ Refugees in Sudan ]],0)</f>
        <v>10.3</v>
      </c>
    </row>
    <row r="159" spans="1:30" x14ac:dyDescent="0.25">
      <c r="A159" s="1" t="s">
        <v>323</v>
      </c>
      <c r="B159" s="1" t="s">
        <v>332</v>
      </c>
      <c r="C159" s="1" t="s">
        <v>333</v>
      </c>
      <c r="D159" s="2">
        <v>28995</v>
      </c>
      <c r="E159" s="2">
        <v>66085</v>
      </c>
      <c r="F159" s="2">
        <v>1604</v>
      </c>
      <c r="G159" s="2">
        <f>SUM(Table1[[#This Row],[ IDPs ]:[ Refugees in Sudan ]])</f>
        <v>96684</v>
      </c>
      <c r="H159" s="30">
        <v>3</v>
      </c>
      <c r="I159" s="2">
        <v>187835</v>
      </c>
      <c r="J159" s="4" t="s">
        <v>410</v>
      </c>
      <c r="K15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59" s="4"/>
      <c r="M159" s="4"/>
      <c r="N159" s="4"/>
      <c r="O159" s="4"/>
      <c r="P159" s="4">
        <f>MAX(Table1[[#This Row],['#Protection Partners]:['# MA Partners]])</f>
        <v>0</v>
      </c>
      <c r="Q159" s="35">
        <f>IF(Table1[[#This Row],[OVERALL PARTNERS]]&lt;=0,1,IF(Table1[[#This Row],[OVERALL PARTNERS]]&lt;6,0.5,IF(Table1[[#This Row],[OVERALL PARTNERS]]&lt;10,0,0)))</f>
        <v>1</v>
      </c>
      <c r="R159" s="4"/>
      <c r="S159" s="4"/>
      <c r="T159" s="4"/>
      <c r="U159" s="4"/>
      <c r="V159" s="13">
        <f>MAX(Table1[[#This Row],[People Reached Protection]:[People Reached MA]])/Table1[[#This Row],[2025 - Targets]]</f>
        <v>0</v>
      </c>
      <c r="W159" s="34">
        <f>IF(Table1[[#This Row],[OVERALL REACHED]]&gt;50%,0,IF(Table1[[#This Row],[OVERALL REACHED]]&gt;0%,1,2))</f>
        <v>2</v>
      </c>
      <c r="X159" s="37">
        <f>SUM(Table1[[#This Row],[ACCESS SCORE]],Table1[[#This Row],[PARTNER PRESENCE SCORE]],Table1[[#This Row],[''Neglected'' LOCATION SCORE (REACHED)]])</f>
        <v>6</v>
      </c>
      <c r="Y15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59" s="13" cm="1">
        <f t="array" ref="Z159">_xlfn.XLOOKUP(Table1[[#This Row],[2026 - Final Severity of Needs]]&amp;Table1[[#This Row],[Priority]],'2. Lookup'!A:A&amp;'2. Lookup'!B:B,'2. Lookup'!C:C,0)</f>
        <v>0.2</v>
      </c>
      <c r="AA159" s="49">
        <f>Table1[[#This Row],[Target Coverage]]*Table1[[#This Row],[2026 - PiN]]</f>
        <v>19336.8</v>
      </c>
      <c r="AB159" s="49">
        <f>IFERROR(Table1[[#This Row],[Target Coverage]]*Table1[[#This Row],[ IDPs ]],0)</f>
        <v>5799</v>
      </c>
      <c r="AC159" s="49">
        <f>IFERROR(Table1[[#This Row],[Target Coverage]]*Table1[[#This Row],[ Returnees ]],0)</f>
        <v>13217</v>
      </c>
      <c r="AD159" s="49">
        <f>IFERROR(Table1[[#This Row],[Target Coverage]]*Table1[[#This Row],[ Refugees in Sudan ]],0)</f>
        <v>320.8</v>
      </c>
    </row>
    <row r="160" spans="1:30" x14ac:dyDescent="0.25">
      <c r="A160" s="3" t="s">
        <v>323</v>
      </c>
      <c r="B160" s="3" t="s">
        <v>334</v>
      </c>
      <c r="C160" s="3" t="s">
        <v>335</v>
      </c>
      <c r="D160" s="4">
        <v>55924</v>
      </c>
      <c r="E160" s="3" t="s">
        <v>23</v>
      </c>
      <c r="F160" s="3" t="s">
        <v>24</v>
      </c>
      <c r="G160" s="4">
        <f>SUM(Table1[[#This Row],[ IDPs ]:[ Refugees in Sudan ]])</f>
        <v>55924</v>
      </c>
      <c r="H160" s="29">
        <v>3</v>
      </c>
      <c r="I160" s="4">
        <v>162655</v>
      </c>
      <c r="J160" s="4" t="s">
        <v>411</v>
      </c>
      <c r="K16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60" s="4"/>
      <c r="M160" s="4"/>
      <c r="N160" s="4"/>
      <c r="O160" s="4"/>
      <c r="P160" s="4">
        <f>MAX(Table1[[#This Row],['#Protection Partners]:['# MA Partners]])</f>
        <v>0</v>
      </c>
      <c r="Q160" s="35">
        <f>IF(Table1[[#This Row],[OVERALL PARTNERS]]&lt;=0,1,IF(Table1[[#This Row],[OVERALL PARTNERS]]&lt;6,0.5,IF(Table1[[#This Row],[OVERALL PARTNERS]]&lt;10,0,0)))</f>
        <v>1</v>
      </c>
      <c r="R160" s="4"/>
      <c r="S160" s="4"/>
      <c r="T160" s="4"/>
      <c r="U160" s="4"/>
      <c r="V160" s="13">
        <f>MAX(Table1[[#This Row],[People Reached Protection]:[People Reached MA]])/Table1[[#This Row],[2025 - Targets]]</f>
        <v>0</v>
      </c>
      <c r="W160" s="34">
        <f>IF(Table1[[#This Row],[OVERALL REACHED]]&gt;50%,0,IF(Table1[[#This Row],[OVERALL REACHED]]&gt;0%,1,2))</f>
        <v>2</v>
      </c>
      <c r="X160" s="37">
        <f>SUM(Table1[[#This Row],[ACCESS SCORE]],Table1[[#This Row],[PARTNER PRESENCE SCORE]],Table1[[#This Row],[''Neglected'' LOCATION SCORE (REACHED)]])</f>
        <v>5</v>
      </c>
      <c r="Y16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60" s="13" cm="1">
        <f t="array" ref="Z160">_xlfn.XLOOKUP(Table1[[#This Row],[2026 - Final Severity of Needs]]&amp;Table1[[#This Row],[Priority]],'2. Lookup'!A:A&amp;'2. Lookup'!B:B,'2. Lookup'!C:C,0)</f>
        <v>0.1</v>
      </c>
      <c r="AA160" s="49">
        <f>Table1[[#This Row],[Target Coverage]]*Table1[[#This Row],[2026 - PiN]]</f>
        <v>5592.4000000000005</v>
      </c>
      <c r="AB160" s="49">
        <f>IFERROR(Table1[[#This Row],[Target Coverage]]*Table1[[#This Row],[ IDPs ]],0)</f>
        <v>5592.4000000000005</v>
      </c>
      <c r="AC160" s="49">
        <f>IFERROR(Table1[[#This Row],[Target Coverage]]*Table1[[#This Row],[ Returnees ]],0)</f>
        <v>0</v>
      </c>
      <c r="AD160" s="49">
        <f>IFERROR(Table1[[#This Row],[Target Coverage]]*Table1[[#This Row],[ Refugees in Sudan ]],0)</f>
        <v>0</v>
      </c>
    </row>
    <row r="161" spans="1:30" x14ac:dyDescent="0.25">
      <c r="A161" s="1" t="s">
        <v>323</v>
      </c>
      <c r="B161" s="1" t="s">
        <v>336</v>
      </c>
      <c r="C161" s="1" t="s">
        <v>337</v>
      </c>
      <c r="D161" s="2">
        <v>12401</v>
      </c>
      <c r="E161" s="2">
        <v>15455</v>
      </c>
      <c r="F161" s="2">
        <v>2798</v>
      </c>
      <c r="G161" s="2">
        <f>SUM(Table1[[#This Row],[ IDPs ]:[ Refugees in Sudan ]])</f>
        <v>30654</v>
      </c>
      <c r="H161" s="30">
        <v>3</v>
      </c>
      <c r="I161" s="2">
        <v>210285</v>
      </c>
      <c r="J161" s="4" t="s">
        <v>410</v>
      </c>
      <c r="K16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61" s="4"/>
      <c r="M161" s="4"/>
      <c r="N161" s="4"/>
      <c r="O161" s="4"/>
      <c r="P161" s="4">
        <f>MAX(Table1[[#This Row],['#Protection Partners]:['# MA Partners]])</f>
        <v>0</v>
      </c>
      <c r="Q161" s="35">
        <f>IF(Table1[[#This Row],[OVERALL PARTNERS]]&lt;=0,1,IF(Table1[[#This Row],[OVERALL PARTNERS]]&lt;6,0.5,IF(Table1[[#This Row],[OVERALL PARTNERS]]&lt;10,0,0)))</f>
        <v>1</v>
      </c>
      <c r="R161" s="4"/>
      <c r="S161" s="4"/>
      <c r="T161" s="4"/>
      <c r="U161" s="4"/>
      <c r="V161" s="13">
        <f>MAX(Table1[[#This Row],[People Reached Protection]:[People Reached MA]])/Table1[[#This Row],[2025 - Targets]]</f>
        <v>0</v>
      </c>
      <c r="W161" s="34">
        <f>IF(Table1[[#This Row],[OVERALL REACHED]]&gt;50%,0,IF(Table1[[#This Row],[OVERALL REACHED]]&gt;0%,1,2))</f>
        <v>2</v>
      </c>
      <c r="X161" s="37">
        <f>SUM(Table1[[#This Row],[ACCESS SCORE]],Table1[[#This Row],[PARTNER PRESENCE SCORE]],Table1[[#This Row],[''Neglected'' LOCATION SCORE (REACHED)]])</f>
        <v>6</v>
      </c>
      <c r="Y16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61" s="13" cm="1">
        <f t="array" ref="Z161">_xlfn.XLOOKUP(Table1[[#This Row],[2026 - Final Severity of Needs]]&amp;Table1[[#This Row],[Priority]],'2. Lookup'!A:A&amp;'2. Lookup'!B:B,'2. Lookup'!C:C,0)</f>
        <v>0.2</v>
      </c>
      <c r="AA161" s="49">
        <f>Table1[[#This Row],[Target Coverage]]*Table1[[#This Row],[2026 - PiN]]</f>
        <v>6130.8</v>
      </c>
      <c r="AB161" s="49">
        <f>IFERROR(Table1[[#This Row],[Target Coverage]]*Table1[[#This Row],[ IDPs ]],0)</f>
        <v>2480.2000000000003</v>
      </c>
      <c r="AC161" s="49">
        <f>IFERROR(Table1[[#This Row],[Target Coverage]]*Table1[[#This Row],[ Returnees ]],0)</f>
        <v>3091</v>
      </c>
      <c r="AD161" s="49">
        <f>IFERROR(Table1[[#This Row],[Target Coverage]]*Table1[[#This Row],[ Refugees in Sudan ]],0)</f>
        <v>559.6</v>
      </c>
    </row>
    <row r="162" spans="1:30" x14ac:dyDescent="0.25">
      <c r="A162" s="3" t="s">
        <v>323</v>
      </c>
      <c r="B162" s="3" t="s">
        <v>338</v>
      </c>
      <c r="C162" s="3" t="s">
        <v>339</v>
      </c>
      <c r="D162" s="4">
        <v>9380</v>
      </c>
      <c r="E162" s="3" t="s">
        <v>23</v>
      </c>
      <c r="F162" s="3" t="s">
        <v>24</v>
      </c>
      <c r="G162" s="4">
        <f>SUM(Table1[[#This Row],[ IDPs ]:[ Refugees in Sudan ]])</f>
        <v>9380</v>
      </c>
      <c r="H162" s="29">
        <v>3</v>
      </c>
      <c r="I162" s="4">
        <v>161816</v>
      </c>
      <c r="J162" s="4" t="s">
        <v>412</v>
      </c>
      <c r="K16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62" s="4"/>
      <c r="M162" s="4"/>
      <c r="N162" s="4"/>
      <c r="O162" s="4"/>
      <c r="P162" s="4">
        <f>MAX(Table1[[#This Row],['#Protection Partners]:['# MA Partners]])</f>
        <v>0</v>
      </c>
      <c r="Q162" s="35">
        <f>IF(Table1[[#This Row],[OVERALL PARTNERS]]&lt;=0,1,IF(Table1[[#This Row],[OVERALL PARTNERS]]&lt;6,0.5,IF(Table1[[#This Row],[OVERALL PARTNERS]]&lt;10,0,0)))</f>
        <v>1</v>
      </c>
      <c r="R162" s="4"/>
      <c r="S162" s="4"/>
      <c r="T162" s="4"/>
      <c r="U162" s="4"/>
      <c r="V162" s="13">
        <f>MAX(Table1[[#This Row],[People Reached Protection]:[People Reached MA]])/Table1[[#This Row],[2025 - Targets]]</f>
        <v>0</v>
      </c>
      <c r="W162" s="34">
        <f>IF(Table1[[#This Row],[OVERALL REACHED]]&gt;50%,0,IF(Table1[[#This Row],[OVERALL REACHED]]&gt;0%,1,2))</f>
        <v>2</v>
      </c>
      <c r="X162" s="37">
        <f>SUM(Table1[[#This Row],[ACCESS SCORE]],Table1[[#This Row],[PARTNER PRESENCE SCORE]],Table1[[#This Row],[''Neglected'' LOCATION SCORE (REACHED)]])</f>
        <v>7</v>
      </c>
      <c r="Y16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62" s="13" cm="1">
        <f t="array" ref="Z162">_xlfn.XLOOKUP(Table1[[#This Row],[2026 - Final Severity of Needs]]&amp;Table1[[#This Row],[Priority]],'2. Lookup'!A:A&amp;'2. Lookup'!B:B,'2. Lookup'!C:C,0)</f>
        <v>0.2</v>
      </c>
      <c r="AA162" s="49">
        <f>Table1[[#This Row],[Target Coverage]]*Table1[[#This Row],[2026 - PiN]]</f>
        <v>1876</v>
      </c>
      <c r="AB162" s="49">
        <f>IFERROR(Table1[[#This Row],[Target Coverage]]*Table1[[#This Row],[ IDPs ]],0)</f>
        <v>1876</v>
      </c>
      <c r="AC162" s="49">
        <f>IFERROR(Table1[[#This Row],[Target Coverage]]*Table1[[#This Row],[ Returnees ]],0)</f>
        <v>0</v>
      </c>
      <c r="AD162" s="49">
        <f>IFERROR(Table1[[#This Row],[Target Coverage]]*Table1[[#This Row],[ Refugees in Sudan ]],0)</f>
        <v>0</v>
      </c>
    </row>
    <row r="163" spans="1:30" x14ac:dyDescent="0.25">
      <c r="A163" s="1" t="s">
        <v>340</v>
      </c>
      <c r="B163" s="1" t="s">
        <v>341</v>
      </c>
      <c r="C163" s="1" t="s">
        <v>342</v>
      </c>
      <c r="D163" s="2">
        <v>60630</v>
      </c>
      <c r="E163" s="1" t="s">
        <v>23</v>
      </c>
      <c r="F163" s="1">
        <v>425</v>
      </c>
      <c r="G163" s="2">
        <f>SUM(Table1[[#This Row],[ IDPs ]:[ Refugees in Sudan ]])</f>
        <v>61055</v>
      </c>
      <c r="H163" s="30">
        <v>2</v>
      </c>
      <c r="I163" s="2">
        <v>65368</v>
      </c>
      <c r="J163" s="4" t="s">
        <v>415</v>
      </c>
      <c r="K16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63" s="4"/>
      <c r="M163" s="4"/>
      <c r="N163" s="4"/>
      <c r="O163" s="4"/>
      <c r="P163" s="4">
        <f>MAX(Table1[[#This Row],['#Protection Partners]:['# MA Partners]])</f>
        <v>0</v>
      </c>
      <c r="Q163" s="35">
        <f>IF(Table1[[#This Row],[OVERALL PARTNERS]]&lt;=0,1,IF(Table1[[#This Row],[OVERALL PARTNERS]]&lt;6,0.5,IF(Table1[[#This Row],[OVERALL PARTNERS]]&lt;10,0,0)))</f>
        <v>1</v>
      </c>
      <c r="R163" s="4"/>
      <c r="S163" s="4"/>
      <c r="T163" s="4"/>
      <c r="U163" s="4"/>
      <c r="V163" s="13">
        <f>MAX(Table1[[#This Row],[People Reached Protection]:[People Reached MA]])/Table1[[#This Row],[2025 - Targets]]</f>
        <v>0</v>
      </c>
      <c r="W163" s="34">
        <f>IF(Table1[[#This Row],[OVERALL REACHED]]&gt;50%,0,IF(Table1[[#This Row],[OVERALL REACHED]]&gt;0%,1,2))</f>
        <v>2</v>
      </c>
      <c r="X163" s="37">
        <f>SUM(Table1[[#This Row],[ACCESS SCORE]],Table1[[#This Row],[PARTNER PRESENCE SCORE]],Table1[[#This Row],[''Neglected'' LOCATION SCORE (REACHED)]])</f>
        <v>8</v>
      </c>
      <c r="Y16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63" s="13" cm="1">
        <f t="array" ref="Z163">_xlfn.XLOOKUP(Table1[[#This Row],[2026 - Final Severity of Needs]]&amp;Table1[[#This Row],[Priority]],'2. Lookup'!A:A&amp;'2. Lookup'!B:B,'2. Lookup'!C:C,0)</f>
        <v>0</v>
      </c>
      <c r="AA163" s="49">
        <f>Table1[[#This Row],[Target Coverage]]*Table1[[#This Row],[2026 - PiN]]</f>
        <v>0</v>
      </c>
      <c r="AB163" s="49">
        <f>IFERROR(Table1[[#This Row],[Target Coverage]]*Table1[[#This Row],[ IDPs ]],0)</f>
        <v>0</v>
      </c>
      <c r="AC163" s="49">
        <f>IFERROR(Table1[[#This Row],[Target Coverage]]*Table1[[#This Row],[ Returnees ]],0)</f>
        <v>0</v>
      </c>
      <c r="AD163" s="49">
        <f>IFERROR(Table1[[#This Row],[Target Coverage]]*Table1[[#This Row],[ Refugees in Sudan ]],0)</f>
        <v>0</v>
      </c>
    </row>
    <row r="164" spans="1:30" x14ac:dyDescent="0.25">
      <c r="A164" s="3" t="s">
        <v>340</v>
      </c>
      <c r="B164" s="3" t="s">
        <v>343</v>
      </c>
      <c r="C164" s="3" t="s">
        <v>344</v>
      </c>
      <c r="D164" s="4">
        <v>85972</v>
      </c>
      <c r="E164" s="3" t="s">
        <v>23</v>
      </c>
      <c r="F164" s="3">
        <v>91</v>
      </c>
      <c r="G164" s="4">
        <f>SUM(Table1[[#This Row],[ IDPs ]:[ Refugees in Sudan ]])</f>
        <v>86063</v>
      </c>
      <c r="H164" s="29">
        <v>3</v>
      </c>
      <c r="I164" s="4">
        <v>118436</v>
      </c>
      <c r="J164" s="4" t="s">
        <v>410</v>
      </c>
      <c r="K16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64" s="4"/>
      <c r="M164" s="4"/>
      <c r="N164" s="4"/>
      <c r="O164" s="4"/>
      <c r="P164" s="4">
        <f>MAX(Table1[[#This Row],['#Protection Partners]:['# MA Partners]])</f>
        <v>0</v>
      </c>
      <c r="Q164" s="35">
        <f>IF(Table1[[#This Row],[OVERALL PARTNERS]]&lt;=0,1,IF(Table1[[#This Row],[OVERALL PARTNERS]]&lt;6,0.5,IF(Table1[[#This Row],[OVERALL PARTNERS]]&lt;10,0,0)))</f>
        <v>1</v>
      </c>
      <c r="R164" s="4"/>
      <c r="S164" s="4"/>
      <c r="T164" s="4"/>
      <c r="U164" s="4"/>
      <c r="V164" s="13">
        <f>MAX(Table1[[#This Row],[People Reached Protection]:[People Reached MA]])/Table1[[#This Row],[2025 - Targets]]</f>
        <v>0</v>
      </c>
      <c r="W164" s="34">
        <f>IF(Table1[[#This Row],[OVERALL REACHED]]&gt;50%,0,IF(Table1[[#This Row],[OVERALL REACHED]]&gt;0%,1,2))</f>
        <v>2</v>
      </c>
      <c r="X164" s="37">
        <f>SUM(Table1[[#This Row],[ACCESS SCORE]],Table1[[#This Row],[PARTNER PRESENCE SCORE]],Table1[[#This Row],[''Neglected'' LOCATION SCORE (REACHED)]])</f>
        <v>6</v>
      </c>
      <c r="Y16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64" s="13" cm="1">
        <f t="array" ref="Z164">_xlfn.XLOOKUP(Table1[[#This Row],[2026 - Final Severity of Needs]]&amp;Table1[[#This Row],[Priority]],'2. Lookup'!A:A&amp;'2. Lookup'!B:B,'2. Lookup'!C:C,0)</f>
        <v>0.2</v>
      </c>
      <c r="AA164" s="49">
        <f>Table1[[#This Row],[Target Coverage]]*Table1[[#This Row],[2026 - PiN]]</f>
        <v>17212.600000000002</v>
      </c>
      <c r="AB164" s="49">
        <f>IFERROR(Table1[[#This Row],[Target Coverage]]*Table1[[#This Row],[ IDPs ]],0)</f>
        <v>17194.400000000001</v>
      </c>
      <c r="AC164" s="49">
        <f>IFERROR(Table1[[#This Row],[Target Coverage]]*Table1[[#This Row],[ Returnees ]],0)</f>
        <v>0</v>
      </c>
      <c r="AD164" s="49">
        <f>IFERROR(Table1[[#This Row],[Target Coverage]]*Table1[[#This Row],[ Refugees in Sudan ]],0)</f>
        <v>18.2</v>
      </c>
    </row>
    <row r="165" spans="1:30" x14ac:dyDescent="0.25">
      <c r="A165" s="1" t="s">
        <v>340</v>
      </c>
      <c r="B165" s="1" t="s">
        <v>345</v>
      </c>
      <c r="C165" s="1" t="s">
        <v>346</v>
      </c>
      <c r="D165" s="2">
        <v>122773</v>
      </c>
      <c r="E165" s="2">
        <v>28655</v>
      </c>
      <c r="F165" s="2">
        <v>3260</v>
      </c>
      <c r="G165" s="2">
        <f>SUM(Table1[[#This Row],[ IDPs ]:[ Refugees in Sudan ]])</f>
        <v>154688</v>
      </c>
      <c r="H165" s="30">
        <v>3</v>
      </c>
      <c r="I165" s="2">
        <v>264812</v>
      </c>
      <c r="J165" s="4" t="s">
        <v>415</v>
      </c>
      <c r="K16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65" s="4"/>
      <c r="M165" s="4"/>
      <c r="N165" s="4"/>
      <c r="O165" s="4"/>
      <c r="P165" s="4">
        <f>MAX(Table1[[#This Row],['#Protection Partners]:['# MA Partners]])</f>
        <v>0</v>
      </c>
      <c r="Q165" s="35">
        <f>IF(Table1[[#This Row],[OVERALL PARTNERS]]&lt;=0,1,IF(Table1[[#This Row],[OVERALL PARTNERS]]&lt;6,0.5,IF(Table1[[#This Row],[OVERALL PARTNERS]]&lt;10,0,0)))</f>
        <v>1</v>
      </c>
      <c r="R165" s="4"/>
      <c r="S165" s="4"/>
      <c r="T165" s="4"/>
      <c r="U165" s="4"/>
      <c r="V165" s="13">
        <f>MAX(Table1[[#This Row],[People Reached Protection]:[People Reached MA]])/Table1[[#This Row],[2025 - Targets]]</f>
        <v>0</v>
      </c>
      <c r="W165" s="34">
        <f>IF(Table1[[#This Row],[OVERALL REACHED]]&gt;50%,0,IF(Table1[[#This Row],[OVERALL REACHED]]&gt;0%,1,2))</f>
        <v>2</v>
      </c>
      <c r="X165" s="37">
        <f>SUM(Table1[[#This Row],[ACCESS SCORE]],Table1[[#This Row],[PARTNER PRESENCE SCORE]],Table1[[#This Row],[''Neglected'' LOCATION SCORE (REACHED)]])</f>
        <v>8</v>
      </c>
      <c r="Y16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65" s="13" cm="1">
        <f t="array" ref="Z165">_xlfn.XLOOKUP(Table1[[#This Row],[2026 - Final Severity of Needs]]&amp;Table1[[#This Row],[Priority]],'2. Lookup'!A:A&amp;'2. Lookup'!B:B,'2. Lookup'!C:C,0)</f>
        <v>0.4</v>
      </c>
      <c r="AA165" s="49">
        <f>Table1[[#This Row],[Target Coverage]]*Table1[[#This Row],[2026 - PiN]]</f>
        <v>61875.200000000004</v>
      </c>
      <c r="AB165" s="49">
        <f>IFERROR(Table1[[#This Row],[Target Coverage]]*Table1[[#This Row],[ IDPs ]],0)</f>
        <v>49109.200000000004</v>
      </c>
      <c r="AC165" s="49">
        <f>IFERROR(Table1[[#This Row],[Target Coverage]]*Table1[[#This Row],[ Returnees ]],0)</f>
        <v>11462</v>
      </c>
      <c r="AD165" s="49">
        <f>IFERROR(Table1[[#This Row],[Target Coverage]]*Table1[[#This Row],[ Refugees in Sudan ]],0)</f>
        <v>1304</v>
      </c>
    </row>
    <row r="166" spans="1:30" x14ac:dyDescent="0.25">
      <c r="A166" s="3" t="s">
        <v>340</v>
      </c>
      <c r="B166" s="3" t="s">
        <v>347</v>
      </c>
      <c r="C166" s="3" t="s">
        <v>348</v>
      </c>
      <c r="D166" s="4">
        <v>58050</v>
      </c>
      <c r="E166" s="3" t="s">
        <v>23</v>
      </c>
      <c r="F166" s="4">
        <v>1362</v>
      </c>
      <c r="G166" s="4">
        <f>SUM(Table1[[#This Row],[ IDPs ]:[ Refugees in Sudan ]])</f>
        <v>59412</v>
      </c>
      <c r="H166" s="29">
        <v>3</v>
      </c>
      <c r="I166" s="4">
        <v>174611</v>
      </c>
      <c r="J166" s="4" t="s">
        <v>410</v>
      </c>
      <c r="K16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66" s="4"/>
      <c r="M166" s="4"/>
      <c r="N166" s="4"/>
      <c r="O166" s="4"/>
      <c r="P166" s="4">
        <f>MAX(Table1[[#This Row],['#Protection Partners]:['# MA Partners]])</f>
        <v>0</v>
      </c>
      <c r="Q166" s="35">
        <f>IF(Table1[[#This Row],[OVERALL PARTNERS]]&lt;=0,1,IF(Table1[[#This Row],[OVERALL PARTNERS]]&lt;6,0.5,IF(Table1[[#This Row],[OVERALL PARTNERS]]&lt;10,0,0)))</f>
        <v>1</v>
      </c>
      <c r="R166" s="4"/>
      <c r="S166" s="4"/>
      <c r="T166" s="4"/>
      <c r="U166" s="4"/>
      <c r="V166" s="13">
        <f>MAX(Table1[[#This Row],[People Reached Protection]:[People Reached MA]])/Table1[[#This Row],[2025 - Targets]]</f>
        <v>0</v>
      </c>
      <c r="W166" s="34">
        <f>IF(Table1[[#This Row],[OVERALL REACHED]]&gt;50%,0,IF(Table1[[#This Row],[OVERALL REACHED]]&gt;0%,1,2))</f>
        <v>2</v>
      </c>
      <c r="X166" s="37">
        <f>SUM(Table1[[#This Row],[ACCESS SCORE]],Table1[[#This Row],[PARTNER PRESENCE SCORE]],Table1[[#This Row],[''Neglected'' LOCATION SCORE (REACHED)]])</f>
        <v>6</v>
      </c>
      <c r="Y16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66" s="13" cm="1">
        <f t="array" ref="Z166">_xlfn.XLOOKUP(Table1[[#This Row],[2026 - Final Severity of Needs]]&amp;Table1[[#This Row],[Priority]],'2. Lookup'!A:A&amp;'2. Lookup'!B:B,'2. Lookup'!C:C,0)</f>
        <v>0.2</v>
      </c>
      <c r="AA166" s="49">
        <f>Table1[[#This Row],[Target Coverage]]*Table1[[#This Row],[2026 - PiN]]</f>
        <v>11882.400000000001</v>
      </c>
      <c r="AB166" s="49">
        <f>IFERROR(Table1[[#This Row],[Target Coverage]]*Table1[[#This Row],[ IDPs ]],0)</f>
        <v>11610</v>
      </c>
      <c r="AC166" s="49">
        <f>IFERROR(Table1[[#This Row],[Target Coverage]]*Table1[[#This Row],[ Returnees ]],0)</f>
        <v>0</v>
      </c>
      <c r="AD166" s="49">
        <f>IFERROR(Table1[[#This Row],[Target Coverage]]*Table1[[#This Row],[ Refugees in Sudan ]],0)</f>
        <v>272.40000000000003</v>
      </c>
    </row>
    <row r="167" spans="1:30" x14ac:dyDescent="0.25">
      <c r="A167" s="1" t="s">
        <v>340</v>
      </c>
      <c r="B167" s="1" t="s">
        <v>349</v>
      </c>
      <c r="C167" s="1" t="s">
        <v>350</v>
      </c>
      <c r="D167" s="2">
        <v>76615</v>
      </c>
      <c r="E167" s="1" t="s">
        <v>23</v>
      </c>
      <c r="F167" s="2">
        <v>3080</v>
      </c>
      <c r="G167" s="2">
        <f>SUM(Table1[[#This Row],[ IDPs ]:[ Refugees in Sudan ]])</f>
        <v>79695</v>
      </c>
      <c r="H167" s="30">
        <v>3</v>
      </c>
      <c r="I167" s="2">
        <v>145334</v>
      </c>
      <c r="J167" s="4" t="s">
        <v>412</v>
      </c>
      <c r="K16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67" s="4"/>
      <c r="M167" s="4"/>
      <c r="N167" s="4"/>
      <c r="O167" s="4"/>
      <c r="P167" s="4">
        <f>MAX(Table1[[#This Row],['#Protection Partners]:['# MA Partners]])</f>
        <v>0</v>
      </c>
      <c r="Q167" s="35">
        <f>IF(Table1[[#This Row],[OVERALL PARTNERS]]&lt;=0,1,IF(Table1[[#This Row],[OVERALL PARTNERS]]&lt;6,0.5,IF(Table1[[#This Row],[OVERALL PARTNERS]]&lt;10,0,0)))</f>
        <v>1</v>
      </c>
      <c r="R167" s="4"/>
      <c r="S167" s="4"/>
      <c r="T167" s="4"/>
      <c r="U167" s="4"/>
      <c r="V167" s="13">
        <f>MAX(Table1[[#This Row],[People Reached Protection]:[People Reached MA]])/Table1[[#This Row],[2025 - Targets]]</f>
        <v>0</v>
      </c>
      <c r="W167" s="34">
        <f>IF(Table1[[#This Row],[OVERALL REACHED]]&gt;50%,0,IF(Table1[[#This Row],[OVERALL REACHED]]&gt;0%,1,2))</f>
        <v>2</v>
      </c>
      <c r="X167" s="37">
        <f>SUM(Table1[[#This Row],[ACCESS SCORE]],Table1[[#This Row],[PARTNER PRESENCE SCORE]],Table1[[#This Row],[''Neglected'' LOCATION SCORE (REACHED)]])</f>
        <v>7</v>
      </c>
      <c r="Y16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67" s="13" cm="1">
        <f t="array" ref="Z167">_xlfn.XLOOKUP(Table1[[#This Row],[2026 - Final Severity of Needs]]&amp;Table1[[#This Row],[Priority]],'2. Lookup'!A:A&amp;'2. Lookup'!B:B,'2. Lookup'!C:C,0)</f>
        <v>0.2</v>
      </c>
      <c r="AA167" s="49">
        <f>Table1[[#This Row],[Target Coverage]]*Table1[[#This Row],[2026 - PiN]]</f>
        <v>15939</v>
      </c>
      <c r="AB167" s="49">
        <f>IFERROR(Table1[[#This Row],[Target Coverage]]*Table1[[#This Row],[ IDPs ]],0)</f>
        <v>15323</v>
      </c>
      <c r="AC167" s="49">
        <f>IFERROR(Table1[[#This Row],[Target Coverage]]*Table1[[#This Row],[ Returnees ]],0)</f>
        <v>0</v>
      </c>
      <c r="AD167" s="49">
        <f>IFERROR(Table1[[#This Row],[Target Coverage]]*Table1[[#This Row],[ Refugees in Sudan ]],0)</f>
        <v>616</v>
      </c>
    </row>
    <row r="168" spans="1:30" x14ac:dyDescent="0.25">
      <c r="A168" s="3" t="s">
        <v>340</v>
      </c>
      <c r="B168" s="3" t="s">
        <v>351</v>
      </c>
      <c r="C168" s="3" t="s">
        <v>352</v>
      </c>
      <c r="D168" s="4">
        <v>117942</v>
      </c>
      <c r="E168" s="3" t="s">
        <v>23</v>
      </c>
      <c r="F168" s="4">
        <v>2782</v>
      </c>
      <c r="G168" s="4">
        <f>SUM(Table1[[#This Row],[ IDPs ]:[ Refugees in Sudan ]])</f>
        <v>120724</v>
      </c>
      <c r="H168" s="29">
        <v>3</v>
      </c>
      <c r="I168" s="4">
        <v>53004</v>
      </c>
      <c r="J168" s="4" t="s">
        <v>412</v>
      </c>
      <c r="K16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68" s="4"/>
      <c r="M168" s="4"/>
      <c r="N168" s="4"/>
      <c r="O168" s="4"/>
      <c r="P168" s="4">
        <f>MAX(Table1[[#This Row],['#Protection Partners]:['# MA Partners]])</f>
        <v>0</v>
      </c>
      <c r="Q168" s="35">
        <f>IF(Table1[[#This Row],[OVERALL PARTNERS]]&lt;=0,1,IF(Table1[[#This Row],[OVERALL PARTNERS]]&lt;6,0.5,IF(Table1[[#This Row],[OVERALL PARTNERS]]&lt;10,0,0)))</f>
        <v>1</v>
      </c>
      <c r="R168" s="4"/>
      <c r="S168" s="4"/>
      <c r="T168" s="4"/>
      <c r="U168" s="4"/>
      <c r="V168" s="13">
        <f>MAX(Table1[[#This Row],[People Reached Protection]:[People Reached MA]])/Table1[[#This Row],[2025 - Targets]]</f>
        <v>0</v>
      </c>
      <c r="W168" s="34">
        <f>IF(Table1[[#This Row],[OVERALL REACHED]]&gt;50%,0,IF(Table1[[#This Row],[OVERALL REACHED]]&gt;0%,1,2))</f>
        <v>2</v>
      </c>
      <c r="X168" s="37">
        <f>SUM(Table1[[#This Row],[ACCESS SCORE]],Table1[[#This Row],[PARTNER PRESENCE SCORE]],Table1[[#This Row],[''Neglected'' LOCATION SCORE (REACHED)]])</f>
        <v>7</v>
      </c>
      <c r="Y16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68" s="13" cm="1">
        <f t="array" ref="Z168">_xlfn.XLOOKUP(Table1[[#This Row],[2026 - Final Severity of Needs]]&amp;Table1[[#This Row],[Priority]],'2. Lookup'!A:A&amp;'2. Lookup'!B:B,'2. Lookup'!C:C,0)</f>
        <v>0.2</v>
      </c>
      <c r="AA168" s="49">
        <f>Table1[[#This Row],[Target Coverage]]*Table1[[#This Row],[2026 - PiN]]</f>
        <v>24144.800000000003</v>
      </c>
      <c r="AB168" s="49">
        <f>IFERROR(Table1[[#This Row],[Target Coverage]]*Table1[[#This Row],[ IDPs ]],0)</f>
        <v>23588.400000000001</v>
      </c>
      <c r="AC168" s="49">
        <f>IFERROR(Table1[[#This Row],[Target Coverage]]*Table1[[#This Row],[ Returnees ]],0)</f>
        <v>0</v>
      </c>
      <c r="AD168" s="49">
        <f>IFERROR(Table1[[#This Row],[Target Coverage]]*Table1[[#This Row],[ Refugees in Sudan ]],0)</f>
        <v>556.4</v>
      </c>
    </row>
    <row r="169" spans="1:30" x14ac:dyDescent="0.25">
      <c r="A169" s="1" t="s">
        <v>340</v>
      </c>
      <c r="B169" s="1" t="s">
        <v>353</v>
      </c>
      <c r="C169" s="1" t="s">
        <v>354</v>
      </c>
      <c r="D169" s="2">
        <v>4035</v>
      </c>
      <c r="E169" s="1" t="s">
        <v>23</v>
      </c>
      <c r="F169" s="1" t="s">
        <v>24</v>
      </c>
      <c r="G169" s="2">
        <f>SUM(Table1[[#This Row],[ IDPs ]:[ Refugees in Sudan ]])</f>
        <v>4035</v>
      </c>
      <c r="H169" s="30">
        <v>2</v>
      </c>
      <c r="I169" s="2">
        <v>24069</v>
      </c>
      <c r="J169" s="4" t="s">
        <v>412</v>
      </c>
      <c r="K16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69" s="4"/>
      <c r="M169" s="4"/>
      <c r="N169" s="4"/>
      <c r="O169" s="4"/>
      <c r="P169" s="4">
        <f>MAX(Table1[[#This Row],['#Protection Partners]:['# MA Partners]])</f>
        <v>0</v>
      </c>
      <c r="Q169" s="35">
        <f>IF(Table1[[#This Row],[OVERALL PARTNERS]]&lt;=0,1,IF(Table1[[#This Row],[OVERALL PARTNERS]]&lt;6,0.5,IF(Table1[[#This Row],[OVERALL PARTNERS]]&lt;10,0,0)))</f>
        <v>1</v>
      </c>
      <c r="R169" s="4"/>
      <c r="S169" s="4"/>
      <c r="T169" s="4"/>
      <c r="U169" s="4"/>
      <c r="V169" s="13">
        <f>MAX(Table1[[#This Row],[People Reached Protection]:[People Reached MA]])/Table1[[#This Row],[2025 - Targets]]</f>
        <v>0</v>
      </c>
      <c r="W169" s="34">
        <f>IF(Table1[[#This Row],[OVERALL REACHED]]&gt;50%,0,IF(Table1[[#This Row],[OVERALL REACHED]]&gt;0%,1,2))</f>
        <v>2</v>
      </c>
      <c r="X169" s="37">
        <f>SUM(Table1[[#This Row],[ACCESS SCORE]],Table1[[#This Row],[PARTNER PRESENCE SCORE]],Table1[[#This Row],[''Neglected'' LOCATION SCORE (REACHED)]])</f>
        <v>7</v>
      </c>
      <c r="Y16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69" s="13" cm="1">
        <f t="array" ref="Z169">_xlfn.XLOOKUP(Table1[[#This Row],[2026 - Final Severity of Needs]]&amp;Table1[[#This Row],[Priority]],'2. Lookup'!A:A&amp;'2. Lookup'!B:B,'2. Lookup'!C:C,0)</f>
        <v>0</v>
      </c>
      <c r="AA169" s="49">
        <f>Table1[[#This Row],[Target Coverage]]*Table1[[#This Row],[2026 - PiN]]</f>
        <v>0</v>
      </c>
      <c r="AB169" s="49">
        <f>IFERROR(Table1[[#This Row],[Target Coverage]]*Table1[[#This Row],[ IDPs ]],0)</f>
        <v>0</v>
      </c>
      <c r="AC169" s="49">
        <f>IFERROR(Table1[[#This Row],[Target Coverage]]*Table1[[#This Row],[ Returnees ]],0)</f>
        <v>0</v>
      </c>
      <c r="AD169" s="49">
        <f>IFERROR(Table1[[#This Row],[Target Coverage]]*Table1[[#This Row],[ Refugees in Sudan ]],0)</f>
        <v>0</v>
      </c>
    </row>
    <row r="170" spans="1:30" x14ac:dyDescent="0.25">
      <c r="A170" s="3" t="s">
        <v>355</v>
      </c>
      <c r="B170" s="3" t="s">
        <v>356</v>
      </c>
      <c r="C170" s="3" t="s">
        <v>357</v>
      </c>
      <c r="D170" s="4">
        <v>47229</v>
      </c>
      <c r="E170" s="3" t="s">
        <v>23</v>
      </c>
      <c r="F170" s="3">
        <v>331</v>
      </c>
      <c r="G170" s="4">
        <f>SUM(Table1[[#This Row],[ IDPs ]:[ Refugees in Sudan ]])</f>
        <v>47560</v>
      </c>
      <c r="H170" s="29">
        <v>3</v>
      </c>
      <c r="I170" s="4">
        <v>40186</v>
      </c>
      <c r="J170" s="4" t="s">
        <v>412</v>
      </c>
      <c r="K17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70" s="4"/>
      <c r="M170" s="4"/>
      <c r="N170" s="4"/>
      <c r="O170" s="4"/>
      <c r="P170" s="4">
        <f>MAX(Table1[[#This Row],['#Protection Partners]:['# MA Partners]])</f>
        <v>0</v>
      </c>
      <c r="Q170" s="35">
        <f>IF(Table1[[#This Row],[OVERALL PARTNERS]]&lt;=0,1,IF(Table1[[#This Row],[OVERALL PARTNERS]]&lt;6,0.5,IF(Table1[[#This Row],[OVERALL PARTNERS]]&lt;10,0,0)))</f>
        <v>1</v>
      </c>
      <c r="R170" s="4"/>
      <c r="S170" s="4"/>
      <c r="T170" s="4"/>
      <c r="U170" s="4"/>
      <c r="V170" s="13">
        <f>MAX(Table1[[#This Row],[People Reached Protection]:[People Reached MA]])/Table1[[#This Row],[2025 - Targets]]</f>
        <v>0</v>
      </c>
      <c r="W170" s="34">
        <f>IF(Table1[[#This Row],[OVERALL REACHED]]&gt;50%,0,IF(Table1[[#This Row],[OVERALL REACHED]]&gt;0%,1,2))</f>
        <v>2</v>
      </c>
      <c r="X170" s="37">
        <f>SUM(Table1[[#This Row],[ACCESS SCORE]],Table1[[#This Row],[PARTNER PRESENCE SCORE]],Table1[[#This Row],[''Neglected'' LOCATION SCORE (REACHED)]])</f>
        <v>7</v>
      </c>
      <c r="Y17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70" s="13" cm="1">
        <f t="array" ref="Z170">_xlfn.XLOOKUP(Table1[[#This Row],[2026 - Final Severity of Needs]]&amp;Table1[[#This Row],[Priority]],'2. Lookup'!A:A&amp;'2. Lookup'!B:B,'2. Lookup'!C:C,0)</f>
        <v>0.2</v>
      </c>
      <c r="AA170" s="49">
        <f>Table1[[#This Row],[Target Coverage]]*Table1[[#This Row],[2026 - PiN]]</f>
        <v>9512</v>
      </c>
      <c r="AB170" s="49">
        <f>IFERROR(Table1[[#This Row],[Target Coverage]]*Table1[[#This Row],[ IDPs ]],0)</f>
        <v>9445.8000000000011</v>
      </c>
      <c r="AC170" s="49">
        <f>IFERROR(Table1[[#This Row],[Target Coverage]]*Table1[[#This Row],[ Returnees ]],0)</f>
        <v>0</v>
      </c>
      <c r="AD170" s="49">
        <f>IFERROR(Table1[[#This Row],[Target Coverage]]*Table1[[#This Row],[ Refugees in Sudan ]],0)</f>
        <v>66.2</v>
      </c>
    </row>
    <row r="171" spans="1:30" x14ac:dyDescent="0.25">
      <c r="A171" s="1" t="s">
        <v>355</v>
      </c>
      <c r="B171" s="1" t="s">
        <v>358</v>
      </c>
      <c r="C171" s="1" t="s">
        <v>359</v>
      </c>
      <c r="D171" s="2">
        <v>33817</v>
      </c>
      <c r="E171" s="1" t="s">
        <v>23</v>
      </c>
      <c r="F171" s="1">
        <v>76</v>
      </c>
      <c r="G171" s="2">
        <f>SUM(Table1[[#This Row],[ IDPs ]:[ Refugees in Sudan ]])</f>
        <v>33893</v>
      </c>
      <c r="H171" s="30">
        <v>3</v>
      </c>
      <c r="I171" s="2">
        <v>33250</v>
      </c>
      <c r="J171" s="4" t="s">
        <v>415</v>
      </c>
      <c r="K17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71" s="4"/>
      <c r="M171" s="4"/>
      <c r="N171" s="4"/>
      <c r="O171" s="4"/>
      <c r="P171" s="4">
        <f>MAX(Table1[[#This Row],['#Protection Partners]:['# MA Partners]])</f>
        <v>0</v>
      </c>
      <c r="Q171" s="35">
        <f>IF(Table1[[#This Row],[OVERALL PARTNERS]]&lt;=0,1,IF(Table1[[#This Row],[OVERALL PARTNERS]]&lt;6,0.5,IF(Table1[[#This Row],[OVERALL PARTNERS]]&lt;10,0,0)))</f>
        <v>1</v>
      </c>
      <c r="R171" s="4"/>
      <c r="S171" s="4"/>
      <c r="T171" s="4"/>
      <c r="U171" s="4"/>
      <c r="V171" s="13">
        <f>MAX(Table1[[#This Row],[People Reached Protection]:[People Reached MA]])/Table1[[#This Row],[2025 - Targets]]</f>
        <v>0</v>
      </c>
      <c r="W171" s="34">
        <f>IF(Table1[[#This Row],[OVERALL REACHED]]&gt;50%,0,IF(Table1[[#This Row],[OVERALL REACHED]]&gt;0%,1,2))</f>
        <v>2</v>
      </c>
      <c r="X171" s="37">
        <f>SUM(Table1[[#This Row],[ACCESS SCORE]],Table1[[#This Row],[PARTNER PRESENCE SCORE]],Table1[[#This Row],[''Neglected'' LOCATION SCORE (REACHED)]])</f>
        <v>8</v>
      </c>
      <c r="Y17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71" s="13" cm="1">
        <f t="array" ref="Z171">_xlfn.XLOOKUP(Table1[[#This Row],[2026 - Final Severity of Needs]]&amp;Table1[[#This Row],[Priority]],'2. Lookup'!A:A&amp;'2. Lookup'!B:B,'2. Lookup'!C:C,0)</f>
        <v>0.4</v>
      </c>
      <c r="AA171" s="49">
        <f>Table1[[#This Row],[Target Coverage]]*Table1[[#This Row],[2026 - PiN]]</f>
        <v>13557.2</v>
      </c>
      <c r="AB171" s="49">
        <f>IFERROR(Table1[[#This Row],[Target Coverage]]*Table1[[#This Row],[ IDPs ]],0)</f>
        <v>13526.800000000001</v>
      </c>
      <c r="AC171" s="49">
        <f>IFERROR(Table1[[#This Row],[Target Coverage]]*Table1[[#This Row],[ Returnees ]],0)</f>
        <v>0</v>
      </c>
      <c r="AD171" s="49">
        <f>IFERROR(Table1[[#This Row],[Target Coverage]]*Table1[[#This Row],[ Refugees in Sudan ]],0)</f>
        <v>30.400000000000002</v>
      </c>
    </row>
    <row r="172" spans="1:30" x14ac:dyDescent="0.25">
      <c r="A172" s="3" t="s">
        <v>355</v>
      </c>
      <c r="B172" s="3" t="s">
        <v>360</v>
      </c>
      <c r="C172" s="3" t="s">
        <v>361</v>
      </c>
      <c r="D172" s="4">
        <v>54541</v>
      </c>
      <c r="E172" s="3" t="s">
        <v>23</v>
      </c>
      <c r="F172" s="4">
        <v>1045</v>
      </c>
      <c r="G172" s="4">
        <f>SUM(Table1[[#This Row],[ IDPs ]:[ Refugees in Sudan ]])</f>
        <v>55586</v>
      </c>
      <c r="H172" s="29">
        <v>2</v>
      </c>
      <c r="I172" s="4">
        <v>53891</v>
      </c>
      <c r="J172" s="4" t="s">
        <v>415</v>
      </c>
      <c r="K17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72" s="4"/>
      <c r="M172" s="4"/>
      <c r="N172" s="4"/>
      <c r="O172" s="4"/>
      <c r="P172" s="4">
        <f>MAX(Table1[[#This Row],['#Protection Partners]:['# MA Partners]])</f>
        <v>0</v>
      </c>
      <c r="Q172" s="35">
        <f>IF(Table1[[#This Row],[OVERALL PARTNERS]]&lt;=0,1,IF(Table1[[#This Row],[OVERALL PARTNERS]]&lt;6,0.5,IF(Table1[[#This Row],[OVERALL PARTNERS]]&lt;10,0,0)))</f>
        <v>1</v>
      </c>
      <c r="R172" s="4"/>
      <c r="S172" s="4"/>
      <c r="T172" s="4"/>
      <c r="U172" s="4"/>
      <c r="V172" s="13">
        <f>MAX(Table1[[#This Row],[People Reached Protection]:[People Reached MA]])/Table1[[#This Row],[2025 - Targets]]</f>
        <v>0</v>
      </c>
      <c r="W172" s="34">
        <f>IF(Table1[[#This Row],[OVERALL REACHED]]&gt;50%,0,IF(Table1[[#This Row],[OVERALL REACHED]]&gt;0%,1,2))</f>
        <v>2</v>
      </c>
      <c r="X172" s="37">
        <f>SUM(Table1[[#This Row],[ACCESS SCORE]],Table1[[#This Row],[PARTNER PRESENCE SCORE]],Table1[[#This Row],[''Neglected'' LOCATION SCORE (REACHED)]])</f>
        <v>8</v>
      </c>
      <c r="Y17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72" s="13" cm="1">
        <f t="array" ref="Z172">_xlfn.XLOOKUP(Table1[[#This Row],[2026 - Final Severity of Needs]]&amp;Table1[[#This Row],[Priority]],'2. Lookup'!A:A&amp;'2. Lookup'!B:B,'2. Lookup'!C:C,0)</f>
        <v>0</v>
      </c>
      <c r="AA172" s="49">
        <f>Table1[[#This Row],[Target Coverage]]*Table1[[#This Row],[2026 - PiN]]</f>
        <v>0</v>
      </c>
      <c r="AB172" s="49">
        <f>IFERROR(Table1[[#This Row],[Target Coverage]]*Table1[[#This Row],[ IDPs ]],0)</f>
        <v>0</v>
      </c>
      <c r="AC172" s="49">
        <f>IFERROR(Table1[[#This Row],[Target Coverage]]*Table1[[#This Row],[ Returnees ]],0)</f>
        <v>0</v>
      </c>
      <c r="AD172" s="49">
        <f>IFERROR(Table1[[#This Row],[Target Coverage]]*Table1[[#This Row],[ Refugees in Sudan ]],0)</f>
        <v>0</v>
      </c>
    </row>
    <row r="173" spans="1:30" x14ac:dyDescent="0.25">
      <c r="A173" s="1" t="s">
        <v>355</v>
      </c>
      <c r="B173" s="1" t="s">
        <v>362</v>
      </c>
      <c r="C173" s="1" t="s">
        <v>363</v>
      </c>
      <c r="D173" s="2">
        <v>90118</v>
      </c>
      <c r="E173" s="1" t="s">
        <v>23</v>
      </c>
      <c r="F173" s="2">
        <v>7091</v>
      </c>
      <c r="G173" s="2">
        <f>SUM(Table1[[#This Row],[ IDPs ]:[ Refugees in Sudan ]])</f>
        <v>97209</v>
      </c>
      <c r="H173" s="30">
        <v>3</v>
      </c>
      <c r="I173" s="2">
        <v>63685</v>
      </c>
      <c r="J173" s="4" t="s">
        <v>412</v>
      </c>
      <c r="K17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73" s="4"/>
      <c r="M173" s="4"/>
      <c r="N173" s="4"/>
      <c r="O173" s="4"/>
      <c r="P173" s="4">
        <f>MAX(Table1[[#This Row],['#Protection Partners]:['# MA Partners]])</f>
        <v>0</v>
      </c>
      <c r="Q173" s="35">
        <f>IF(Table1[[#This Row],[OVERALL PARTNERS]]&lt;=0,1,IF(Table1[[#This Row],[OVERALL PARTNERS]]&lt;6,0.5,IF(Table1[[#This Row],[OVERALL PARTNERS]]&lt;10,0,0)))</f>
        <v>1</v>
      </c>
      <c r="R173" s="4"/>
      <c r="S173" s="4"/>
      <c r="T173" s="4"/>
      <c r="U173" s="4"/>
      <c r="V173" s="13">
        <f>MAX(Table1[[#This Row],[People Reached Protection]:[People Reached MA]])/Table1[[#This Row],[2025 - Targets]]</f>
        <v>0</v>
      </c>
      <c r="W173" s="34">
        <f>IF(Table1[[#This Row],[OVERALL REACHED]]&gt;50%,0,IF(Table1[[#This Row],[OVERALL REACHED]]&gt;0%,1,2))</f>
        <v>2</v>
      </c>
      <c r="X173" s="37">
        <f>SUM(Table1[[#This Row],[ACCESS SCORE]],Table1[[#This Row],[PARTNER PRESENCE SCORE]],Table1[[#This Row],[''Neglected'' LOCATION SCORE (REACHED)]])</f>
        <v>7</v>
      </c>
      <c r="Y17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73" s="13" cm="1">
        <f t="array" ref="Z173">_xlfn.XLOOKUP(Table1[[#This Row],[2026 - Final Severity of Needs]]&amp;Table1[[#This Row],[Priority]],'2. Lookup'!A:A&amp;'2. Lookup'!B:B,'2. Lookup'!C:C,0)</f>
        <v>0.2</v>
      </c>
      <c r="AA173" s="49">
        <f>Table1[[#This Row],[Target Coverage]]*Table1[[#This Row],[2026 - PiN]]</f>
        <v>19441.8</v>
      </c>
      <c r="AB173" s="49">
        <f>IFERROR(Table1[[#This Row],[Target Coverage]]*Table1[[#This Row],[ IDPs ]],0)</f>
        <v>18023.600000000002</v>
      </c>
      <c r="AC173" s="49">
        <f>IFERROR(Table1[[#This Row],[Target Coverage]]*Table1[[#This Row],[ Returnees ]],0)</f>
        <v>0</v>
      </c>
      <c r="AD173" s="49">
        <f>IFERROR(Table1[[#This Row],[Target Coverage]]*Table1[[#This Row],[ Refugees in Sudan ]],0)</f>
        <v>1418.2</v>
      </c>
    </row>
    <row r="174" spans="1:30" x14ac:dyDescent="0.25">
      <c r="A174" s="3" t="s">
        <v>355</v>
      </c>
      <c r="B174" s="3" t="s">
        <v>364</v>
      </c>
      <c r="C174" s="3" t="s">
        <v>365</v>
      </c>
      <c r="D174" s="4">
        <v>60983</v>
      </c>
      <c r="E174" s="3" t="s">
        <v>23</v>
      </c>
      <c r="F174" s="3">
        <v>593</v>
      </c>
      <c r="G174" s="4">
        <f>SUM(Table1[[#This Row],[ IDPs ]:[ Refugees in Sudan ]])</f>
        <v>61576</v>
      </c>
      <c r="H174" s="29">
        <v>3</v>
      </c>
      <c r="I174" s="4">
        <v>53041</v>
      </c>
      <c r="J174" s="4" t="s">
        <v>415</v>
      </c>
      <c r="K17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5</v>
      </c>
      <c r="L174" s="4"/>
      <c r="M174" s="4"/>
      <c r="N174" s="4"/>
      <c r="O174" s="4"/>
      <c r="P174" s="4">
        <f>MAX(Table1[[#This Row],['#Protection Partners]:['# MA Partners]])</f>
        <v>0</v>
      </c>
      <c r="Q174" s="35">
        <f>IF(Table1[[#This Row],[OVERALL PARTNERS]]&lt;=0,1,IF(Table1[[#This Row],[OVERALL PARTNERS]]&lt;6,0.5,IF(Table1[[#This Row],[OVERALL PARTNERS]]&lt;10,0,0)))</f>
        <v>1</v>
      </c>
      <c r="R174" s="4"/>
      <c r="S174" s="4"/>
      <c r="T174" s="4"/>
      <c r="U174" s="4"/>
      <c r="V174" s="13">
        <f>MAX(Table1[[#This Row],[People Reached Protection]:[People Reached MA]])/Table1[[#This Row],[2025 - Targets]]</f>
        <v>0</v>
      </c>
      <c r="W174" s="34">
        <f>IF(Table1[[#This Row],[OVERALL REACHED]]&gt;50%,0,IF(Table1[[#This Row],[OVERALL REACHED]]&gt;0%,1,2))</f>
        <v>2</v>
      </c>
      <c r="X174" s="37">
        <f>SUM(Table1[[#This Row],[ACCESS SCORE]],Table1[[#This Row],[PARTNER PRESENCE SCORE]],Table1[[#This Row],[''Neglected'' LOCATION SCORE (REACHED)]])</f>
        <v>8</v>
      </c>
      <c r="Y17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High Priority</v>
      </c>
      <c r="Z174" s="13" cm="1">
        <f t="array" ref="Z174">_xlfn.XLOOKUP(Table1[[#This Row],[2026 - Final Severity of Needs]]&amp;Table1[[#This Row],[Priority]],'2. Lookup'!A:A&amp;'2. Lookup'!B:B,'2. Lookup'!C:C,0)</f>
        <v>0.4</v>
      </c>
      <c r="AA174" s="49">
        <f>Table1[[#This Row],[Target Coverage]]*Table1[[#This Row],[2026 - PiN]]</f>
        <v>24630.400000000001</v>
      </c>
      <c r="AB174" s="49">
        <f>IFERROR(Table1[[#This Row],[Target Coverage]]*Table1[[#This Row],[ IDPs ]],0)</f>
        <v>24393.200000000001</v>
      </c>
      <c r="AC174" s="49">
        <f>IFERROR(Table1[[#This Row],[Target Coverage]]*Table1[[#This Row],[ Returnees ]],0)</f>
        <v>0</v>
      </c>
      <c r="AD174" s="49">
        <f>IFERROR(Table1[[#This Row],[Target Coverage]]*Table1[[#This Row],[ Refugees in Sudan ]],0)</f>
        <v>237.20000000000002</v>
      </c>
    </row>
    <row r="175" spans="1:30" x14ac:dyDescent="0.25">
      <c r="A175" s="1" t="s">
        <v>355</v>
      </c>
      <c r="B175" s="1" t="s">
        <v>366</v>
      </c>
      <c r="C175" s="1" t="s">
        <v>367</v>
      </c>
      <c r="D175" s="2">
        <v>118474</v>
      </c>
      <c r="E175" s="1" t="s">
        <v>23</v>
      </c>
      <c r="F175" s="2">
        <v>1767</v>
      </c>
      <c r="G175" s="2">
        <f>SUM(Table1[[#This Row],[ IDPs ]:[ Refugees in Sudan ]])</f>
        <v>120241</v>
      </c>
      <c r="H175" s="30">
        <v>3</v>
      </c>
      <c r="I175" s="2">
        <v>69000</v>
      </c>
      <c r="J175" s="4" t="s">
        <v>412</v>
      </c>
      <c r="K17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4</v>
      </c>
      <c r="L175" s="4"/>
      <c r="M175" s="4"/>
      <c r="N175" s="4"/>
      <c r="O175" s="4"/>
      <c r="P175" s="4">
        <f>MAX(Table1[[#This Row],['#Protection Partners]:['# MA Partners]])</f>
        <v>0</v>
      </c>
      <c r="Q175" s="35">
        <f>IF(Table1[[#This Row],[OVERALL PARTNERS]]&lt;=0,1,IF(Table1[[#This Row],[OVERALL PARTNERS]]&lt;6,0.5,IF(Table1[[#This Row],[OVERALL PARTNERS]]&lt;10,0,0)))</f>
        <v>1</v>
      </c>
      <c r="R175" s="4"/>
      <c r="S175" s="4"/>
      <c r="T175" s="4"/>
      <c r="U175" s="4"/>
      <c r="V175" s="13">
        <f>MAX(Table1[[#This Row],[People Reached Protection]:[People Reached MA]])/Table1[[#This Row],[2025 - Targets]]</f>
        <v>0</v>
      </c>
      <c r="W175" s="34">
        <f>IF(Table1[[#This Row],[OVERALL REACHED]]&gt;50%,0,IF(Table1[[#This Row],[OVERALL REACHED]]&gt;0%,1,2))</f>
        <v>2</v>
      </c>
      <c r="X175" s="37">
        <f>SUM(Table1[[#This Row],[ACCESS SCORE]],Table1[[#This Row],[PARTNER PRESENCE SCORE]],Table1[[#This Row],[''Neglected'' LOCATION SCORE (REACHED)]])</f>
        <v>7</v>
      </c>
      <c r="Y17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75" s="13" cm="1">
        <f t="array" ref="Z175">_xlfn.XLOOKUP(Table1[[#This Row],[2026 - Final Severity of Needs]]&amp;Table1[[#This Row],[Priority]],'2. Lookup'!A:A&amp;'2. Lookup'!B:B,'2. Lookup'!C:C,0)</f>
        <v>0.2</v>
      </c>
      <c r="AA175" s="49">
        <f>Table1[[#This Row],[Target Coverage]]*Table1[[#This Row],[2026 - PiN]]</f>
        <v>24048.2</v>
      </c>
      <c r="AB175" s="49">
        <f>IFERROR(Table1[[#This Row],[Target Coverage]]*Table1[[#This Row],[ IDPs ]],0)</f>
        <v>23694.800000000003</v>
      </c>
      <c r="AC175" s="49">
        <f>IFERROR(Table1[[#This Row],[Target Coverage]]*Table1[[#This Row],[ Returnees ]],0)</f>
        <v>0</v>
      </c>
      <c r="AD175" s="49">
        <f>IFERROR(Table1[[#This Row],[Target Coverage]]*Table1[[#This Row],[ Refugees in Sudan ]],0)</f>
        <v>353.40000000000003</v>
      </c>
    </row>
    <row r="176" spans="1:30" x14ac:dyDescent="0.25">
      <c r="A176" s="3" t="s">
        <v>355</v>
      </c>
      <c r="B176" s="3" t="s">
        <v>368</v>
      </c>
      <c r="C176" s="3" t="s">
        <v>369</v>
      </c>
      <c r="D176" s="4">
        <v>114093</v>
      </c>
      <c r="E176" s="3" t="s">
        <v>23</v>
      </c>
      <c r="F176" s="3">
        <v>396</v>
      </c>
      <c r="G176" s="4">
        <f>SUM(Table1[[#This Row],[ IDPs ]:[ Refugees in Sudan ]])</f>
        <v>114489</v>
      </c>
      <c r="H176" s="29">
        <v>3</v>
      </c>
      <c r="I176" s="4">
        <v>78557</v>
      </c>
      <c r="J176" s="4" t="s">
        <v>411</v>
      </c>
      <c r="K17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76" s="4"/>
      <c r="M176" s="4"/>
      <c r="N176" s="4"/>
      <c r="O176" s="4"/>
      <c r="P176" s="4">
        <f>MAX(Table1[[#This Row],['#Protection Partners]:['# MA Partners]])</f>
        <v>0</v>
      </c>
      <c r="Q176" s="35">
        <f>IF(Table1[[#This Row],[OVERALL PARTNERS]]&lt;=0,1,IF(Table1[[#This Row],[OVERALL PARTNERS]]&lt;6,0.5,IF(Table1[[#This Row],[OVERALL PARTNERS]]&lt;10,0,0)))</f>
        <v>1</v>
      </c>
      <c r="R176" s="4"/>
      <c r="S176" s="4"/>
      <c r="T176" s="4"/>
      <c r="U176" s="4"/>
      <c r="V176" s="13">
        <f>MAX(Table1[[#This Row],[People Reached Protection]:[People Reached MA]])/Table1[[#This Row],[2025 - Targets]]</f>
        <v>0</v>
      </c>
      <c r="W176" s="34">
        <f>IF(Table1[[#This Row],[OVERALL REACHED]]&gt;50%,0,IF(Table1[[#This Row],[OVERALL REACHED]]&gt;0%,1,2))</f>
        <v>2</v>
      </c>
      <c r="X176" s="37">
        <f>SUM(Table1[[#This Row],[ACCESS SCORE]],Table1[[#This Row],[PARTNER PRESENCE SCORE]],Table1[[#This Row],[''Neglected'' LOCATION SCORE (REACHED)]])</f>
        <v>5</v>
      </c>
      <c r="Y17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76" s="13" cm="1">
        <f t="array" ref="Z176">_xlfn.XLOOKUP(Table1[[#This Row],[2026 - Final Severity of Needs]]&amp;Table1[[#This Row],[Priority]],'2. Lookup'!A:A&amp;'2. Lookup'!B:B,'2. Lookup'!C:C,0)</f>
        <v>0.1</v>
      </c>
      <c r="AA176" s="49">
        <f>Table1[[#This Row],[Target Coverage]]*Table1[[#This Row],[2026 - PiN]]</f>
        <v>11448.900000000001</v>
      </c>
      <c r="AB176" s="49">
        <f>IFERROR(Table1[[#This Row],[Target Coverage]]*Table1[[#This Row],[ IDPs ]],0)</f>
        <v>11409.300000000001</v>
      </c>
      <c r="AC176" s="49">
        <f>IFERROR(Table1[[#This Row],[Target Coverage]]*Table1[[#This Row],[ Returnees ]],0)</f>
        <v>0</v>
      </c>
      <c r="AD176" s="49">
        <f>IFERROR(Table1[[#This Row],[Target Coverage]]*Table1[[#This Row],[ Refugees in Sudan ]],0)</f>
        <v>39.6</v>
      </c>
    </row>
    <row r="177" spans="1:30" x14ac:dyDescent="0.25">
      <c r="A177" s="1" t="s">
        <v>370</v>
      </c>
      <c r="B177" s="1" t="s">
        <v>371</v>
      </c>
      <c r="C177" s="1" t="s">
        <v>372</v>
      </c>
      <c r="D177" s="2">
        <v>22153</v>
      </c>
      <c r="E177" s="1" t="s">
        <v>23</v>
      </c>
      <c r="F177" s="2">
        <v>4642</v>
      </c>
      <c r="G177" s="2">
        <f>SUM(Table1[[#This Row],[ IDPs ]:[ Refugees in Sudan ]])</f>
        <v>26795</v>
      </c>
      <c r="H177" s="30">
        <v>3</v>
      </c>
      <c r="I177" s="2">
        <v>49598</v>
      </c>
      <c r="J177" s="4" t="s">
        <v>411</v>
      </c>
      <c r="K17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77" s="4"/>
      <c r="M177" s="4"/>
      <c r="N177" s="4"/>
      <c r="O177" s="4"/>
      <c r="P177" s="4">
        <f>MAX(Table1[[#This Row],['#Protection Partners]:['# MA Partners]])</f>
        <v>0</v>
      </c>
      <c r="Q177" s="35">
        <f>IF(Table1[[#This Row],[OVERALL PARTNERS]]&lt;=0,1,IF(Table1[[#This Row],[OVERALL PARTNERS]]&lt;6,0.5,IF(Table1[[#This Row],[OVERALL PARTNERS]]&lt;10,0,0)))</f>
        <v>1</v>
      </c>
      <c r="R177" s="4"/>
      <c r="S177" s="4"/>
      <c r="T177" s="4"/>
      <c r="U177" s="4"/>
      <c r="V177" s="13">
        <f>MAX(Table1[[#This Row],[People Reached Protection]:[People Reached MA]])/Table1[[#This Row],[2025 - Targets]]</f>
        <v>0</v>
      </c>
      <c r="W177" s="34">
        <f>IF(Table1[[#This Row],[OVERALL REACHED]]&gt;50%,0,IF(Table1[[#This Row],[OVERALL REACHED]]&gt;0%,1,2))</f>
        <v>2</v>
      </c>
      <c r="X177" s="37">
        <f>SUM(Table1[[#This Row],[ACCESS SCORE]],Table1[[#This Row],[PARTNER PRESENCE SCORE]],Table1[[#This Row],[''Neglected'' LOCATION SCORE (REACHED)]])</f>
        <v>5</v>
      </c>
      <c r="Y17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77" s="13" cm="1">
        <f t="array" ref="Z177">_xlfn.XLOOKUP(Table1[[#This Row],[2026 - Final Severity of Needs]]&amp;Table1[[#This Row],[Priority]],'2. Lookup'!A:A&amp;'2. Lookup'!B:B,'2. Lookup'!C:C,0)</f>
        <v>0.1</v>
      </c>
      <c r="AA177" s="49">
        <f>Table1[[#This Row],[Target Coverage]]*Table1[[#This Row],[2026 - PiN]]</f>
        <v>2679.5</v>
      </c>
      <c r="AB177" s="49">
        <f>IFERROR(Table1[[#This Row],[Target Coverage]]*Table1[[#This Row],[ IDPs ]],0)</f>
        <v>2215.3000000000002</v>
      </c>
      <c r="AC177" s="49">
        <f>IFERROR(Table1[[#This Row],[Target Coverage]]*Table1[[#This Row],[ Returnees ]],0)</f>
        <v>0</v>
      </c>
      <c r="AD177" s="49">
        <f>IFERROR(Table1[[#This Row],[Target Coverage]]*Table1[[#This Row],[ Refugees in Sudan ]],0)</f>
        <v>464.20000000000005</v>
      </c>
    </row>
    <row r="178" spans="1:30" x14ac:dyDescent="0.25">
      <c r="A178" s="3" t="s">
        <v>370</v>
      </c>
      <c r="B178" s="3" t="s">
        <v>373</v>
      </c>
      <c r="C178" s="3" t="s">
        <v>374</v>
      </c>
      <c r="D178" s="4">
        <v>73968</v>
      </c>
      <c r="E178" s="3" t="s">
        <v>23</v>
      </c>
      <c r="F178" s="3" t="s">
        <v>24</v>
      </c>
      <c r="G178" s="4">
        <f>SUM(Table1[[#This Row],[ IDPs ]:[ Refugees in Sudan ]])</f>
        <v>73968</v>
      </c>
      <c r="H178" s="29">
        <v>4</v>
      </c>
      <c r="I178" s="4">
        <v>103019</v>
      </c>
      <c r="J178" s="4" t="s">
        <v>414</v>
      </c>
      <c r="K17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78" s="4"/>
      <c r="M178" s="4"/>
      <c r="N178" s="4"/>
      <c r="O178" s="4"/>
      <c r="P178" s="4">
        <f>MAX(Table1[[#This Row],['#Protection Partners]:['# MA Partners]])</f>
        <v>0</v>
      </c>
      <c r="Q178" s="35">
        <f>IF(Table1[[#This Row],[OVERALL PARTNERS]]&lt;=0,1,IF(Table1[[#This Row],[OVERALL PARTNERS]]&lt;6,0.5,IF(Table1[[#This Row],[OVERALL PARTNERS]]&lt;10,0,0)))</f>
        <v>1</v>
      </c>
      <c r="R178" s="4"/>
      <c r="S178" s="4"/>
      <c r="T178" s="4"/>
      <c r="U178" s="4"/>
      <c r="V178" s="13">
        <f>MAX(Table1[[#This Row],[People Reached Protection]:[People Reached MA]])/Table1[[#This Row],[2025 - Targets]]</f>
        <v>0</v>
      </c>
      <c r="W178" s="34">
        <f>IF(Table1[[#This Row],[OVERALL REACHED]]&gt;50%,0,IF(Table1[[#This Row],[OVERALL REACHED]]&gt;0%,1,2))</f>
        <v>2</v>
      </c>
      <c r="X178" s="37">
        <f>SUM(Table1[[#This Row],[ACCESS SCORE]],Table1[[#This Row],[PARTNER PRESENCE SCORE]],Table1[[#This Row],[''Neglected'' LOCATION SCORE (REACHED)]])</f>
        <v>4</v>
      </c>
      <c r="Y17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78" s="13" cm="1">
        <f t="array" ref="Z178">_xlfn.XLOOKUP(Table1[[#This Row],[2026 - Final Severity of Needs]]&amp;Table1[[#This Row],[Priority]],'2. Lookup'!A:A&amp;'2. Lookup'!B:B,'2. Lookup'!C:C,0)</f>
        <v>0.2</v>
      </c>
      <c r="AA178" s="49">
        <f>Table1[[#This Row],[Target Coverage]]*Table1[[#This Row],[2026 - PiN]]</f>
        <v>14793.6</v>
      </c>
      <c r="AB178" s="49">
        <f>IFERROR(Table1[[#This Row],[Target Coverage]]*Table1[[#This Row],[ IDPs ]],0)</f>
        <v>14793.6</v>
      </c>
      <c r="AC178" s="49">
        <f>IFERROR(Table1[[#This Row],[Target Coverage]]*Table1[[#This Row],[ Returnees ]],0)</f>
        <v>0</v>
      </c>
      <c r="AD178" s="49">
        <f>IFERROR(Table1[[#This Row],[Target Coverage]]*Table1[[#This Row],[ Refugees in Sudan ]],0)</f>
        <v>0</v>
      </c>
    </row>
    <row r="179" spans="1:30" x14ac:dyDescent="0.25">
      <c r="A179" s="1" t="s">
        <v>370</v>
      </c>
      <c r="B179" s="1" t="s">
        <v>375</v>
      </c>
      <c r="C179" s="1" t="s">
        <v>376</v>
      </c>
      <c r="D179" s="2">
        <v>34987</v>
      </c>
      <c r="E179" s="1" t="s">
        <v>23</v>
      </c>
      <c r="F179" s="1">
        <v>416</v>
      </c>
      <c r="G179" s="2">
        <f>SUM(Table1[[#This Row],[ IDPs ]:[ Refugees in Sudan ]])</f>
        <v>35403</v>
      </c>
      <c r="H179" s="30">
        <v>4</v>
      </c>
      <c r="I179" s="2">
        <v>49336</v>
      </c>
      <c r="J179" s="4" t="s">
        <v>413</v>
      </c>
      <c r="K17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79" s="4"/>
      <c r="M179" s="4"/>
      <c r="N179" s="4"/>
      <c r="O179" s="4"/>
      <c r="P179" s="4">
        <f>MAX(Table1[[#This Row],['#Protection Partners]:['# MA Partners]])</f>
        <v>0</v>
      </c>
      <c r="Q179" s="35">
        <f>IF(Table1[[#This Row],[OVERALL PARTNERS]]&lt;=0,1,IF(Table1[[#This Row],[OVERALL PARTNERS]]&lt;6,0.5,IF(Table1[[#This Row],[OVERALL PARTNERS]]&lt;10,0,0)))</f>
        <v>1</v>
      </c>
      <c r="R179" s="4"/>
      <c r="S179" s="4"/>
      <c r="T179" s="4"/>
      <c r="U179" s="4"/>
      <c r="V179" s="13">
        <f>MAX(Table1[[#This Row],[People Reached Protection]:[People Reached MA]])/Table1[[#This Row],[2025 - Targets]]</f>
        <v>0</v>
      </c>
      <c r="W179" s="34">
        <f>IF(Table1[[#This Row],[OVERALL REACHED]]&gt;50%,0,IF(Table1[[#This Row],[OVERALL REACHED]]&gt;0%,1,2))</f>
        <v>2</v>
      </c>
      <c r="X179" s="37">
        <f>SUM(Table1[[#This Row],[ACCESS SCORE]],Table1[[#This Row],[PARTNER PRESENCE SCORE]],Table1[[#This Row],[''Neglected'' LOCATION SCORE (REACHED)]])</f>
        <v>4</v>
      </c>
      <c r="Y17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79" s="13" cm="1">
        <f t="array" ref="Z179">_xlfn.XLOOKUP(Table1[[#This Row],[2026 - Final Severity of Needs]]&amp;Table1[[#This Row],[Priority]],'2. Lookup'!A:A&amp;'2. Lookup'!B:B,'2. Lookup'!C:C,0)</f>
        <v>0.2</v>
      </c>
      <c r="AA179" s="49">
        <f>Table1[[#This Row],[Target Coverage]]*Table1[[#This Row],[2026 - PiN]]</f>
        <v>7080.6</v>
      </c>
      <c r="AB179" s="49">
        <f>IFERROR(Table1[[#This Row],[Target Coverage]]*Table1[[#This Row],[ IDPs ]],0)</f>
        <v>6997.4000000000005</v>
      </c>
      <c r="AC179" s="49">
        <f>IFERROR(Table1[[#This Row],[Target Coverage]]*Table1[[#This Row],[ Returnees ]],0)</f>
        <v>0</v>
      </c>
      <c r="AD179" s="49">
        <f>IFERROR(Table1[[#This Row],[Target Coverage]]*Table1[[#This Row],[ Refugees in Sudan ]],0)</f>
        <v>83.2</v>
      </c>
    </row>
    <row r="180" spans="1:30" x14ac:dyDescent="0.25">
      <c r="A180" s="3" t="s">
        <v>370</v>
      </c>
      <c r="B180" s="3" t="s">
        <v>377</v>
      </c>
      <c r="C180" s="3" t="s">
        <v>378</v>
      </c>
      <c r="D180" s="4">
        <v>13377</v>
      </c>
      <c r="E180" s="3" t="s">
        <v>23</v>
      </c>
      <c r="F180" s="3">
        <v>3</v>
      </c>
      <c r="G180" s="4">
        <f>SUM(Table1[[#This Row],[ IDPs ]:[ Refugees in Sudan ]])</f>
        <v>13380</v>
      </c>
      <c r="H180" s="29">
        <v>4</v>
      </c>
      <c r="I180" s="4">
        <v>31470</v>
      </c>
      <c r="J180" s="4" t="s">
        <v>411</v>
      </c>
      <c r="K18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0" s="4"/>
      <c r="M180" s="4"/>
      <c r="N180" s="4"/>
      <c r="O180" s="4"/>
      <c r="P180" s="4">
        <f>MAX(Table1[[#This Row],['#Protection Partners]:['# MA Partners]])</f>
        <v>0</v>
      </c>
      <c r="Q180" s="35">
        <f>IF(Table1[[#This Row],[OVERALL PARTNERS]]&lt;=0,1,IF(Table1[[#This Row],[OVERALL PARTNERS]]&lt;6,0.5,IF(Table1[[#This Row],[OVERALL PARTNERS]]&lt;10,0,0)))</f>
        <v>1</v>
      </c>
      <c r="R180" s="4"/>
      <c r="S180" s="4"/>
      <c r="T180" s="4"/>
      <c r="U180" s="4"/>
      <c r="V180" s="13">
        <f>MAX(Table1[[#This Row],[People Reached Protection]:[People Reached MA]])/Table1[[#This Row],[2025 - Targets]]</f>
        <v>0</v>
      </c>
      <c r="W180" s="34">
        <f>IF(Table1[[#This Row],[OVERALL REACHED]]&gt;50%,0,IF(Table1[[#This Row],[OVERALL REACHED]]&gt;0%,1,2))</f>
        <v>2</v>
      </c>
      <c r="X180" s="37">
        <f>SUM(Table1[[#This Row],[ACCESS SCORE]],Table1[[#This Row],[PARTNER PRESENCE SCORE]],Table1[[#This Row],[''Neglected'' LOCATION SCORE (REACHED)]])</f>
        <v>5</v>
      </c>
      <c r="Y180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0" s="13" cm="1">
        <f t="array" ref="Z180">_xlfn.XLOOKUP(Table1[[#This Row],[2026 - Final Severity of Needs]]&amp;Table1[[#This Row],[Priority]],'2. Lookup'!A:A&amp;'2. Lookup'!B:B,'2. Lookup'!C:C,0)</f>
        <v>0.2</v>
      </c>
      <c r="AA180" s="49">
        <f>Table1[[#This Row],[Target Coverage]]*Table1[[#This Row],[2026 - PiN]]</f>
        <v>2676</v>
      </c>
      <c r="AB180" s="49">
        <f>IFERROR(Table1[[#This Row],[Target Coverage]]*Table1[[#This Row],[ IDPs ]],0)</f>
        <v>2675.4</v>
      </c>
      <c r="AC180" s="49">
        <f>IFERROR(Table1[[#This Row],[Target Coverage]]*Table1[[#This Row],[ Returnees ]],0)</f>
        <v>0</v>
      </c>
      <c r="AD180" s="49">
        <f>IFERROR(Table1[[#This Row],[Target Coverage]]*Table1[[#This Row],[ Refugees in Sudan ]],0)</f>
        <v>0.60000000000000009</v>
      </c>
    </row>
    <row r="181" spans="1:30" x14ac:dyDescent="0.25">
      <c r="A181" s="1" t="s">
        <v>370</v>
      </c>
      <c r="B181" s="1" t="s">
        <v>379</v>
      </c>
      <c r="C181" s="1" t="s">
        <v>380</v>
      </c>
      <c r="D181" s="2">
        <v>18018</v>
      </c>
      <c r="E181" s="1" t="s">
        <v>23</v>
      </c>
      <c r="F181" s="2">
        <v>5836</v>
      </c>
      <c r="G181" s="2">
        <f>SUM(Table1[[#This Row],[ IDPs ]:[ Refugees in Sudan ]])</f>
        <v>23854</v>
      </c>
      <c r="H181" s="30">
        <v>4</v>
      </c>
      <c r="I181" s="2">
        <v>21837</v>
      </c>
      <c r="J181" s="4" t="s">
        <v>411</v>
      </c>
      <c r="K181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1" s="4"/>
      <c r="M181" s="4"/>
      <c r="N181" s="4"/>
      <c r="O181" s="4"/>
      <c r="P181" s="4">
        <f>MAX(Table1[[#This Row],['#Protection Partners]:['# MA Partners]])</f>
        <v>0</v>
      </c>
      <c r="Q181" s="35">
        <f>IF(Table1[[#This Row],[OVERALL PARTNERS]]&lt;=0,1,IF(Table1[[#This Row],[OVERALL PARTNERS]]&lt;6,0.5,IF(Table1[[#This Row],[OVERALL PARTNERS]]&lt;10,0,0)))</f>
        <v>1</v>
      </c>
      <c r="R181" s="4"/>
      <c r="S181" s="4"/>
      <c r="T181" s="4"/>
      <c r="U181" s="4"/>
      <c r="V181" s="13">
        <f>MAX(Table1[[#This Row],[People Reached Protection]:[People Reached MA]])/Table1[[#This Row],[2025 - Targets]]</f>
        <v>0</v>
      </c>
      <c r="W181" s="34">
        <f>IF(Table1[[#This Row],[OVERALL REACHED]]&gt;50%,0,IF(Table1[[#This Row],[OVERALL REACHED]]&gt;0%,1,2))</f>
        <v>2</v>
      </c>
      <c r="X181" s="37">
        <f>SUM(Table1[[#This Row],[ACCESS SCORE]],Table1[[#This Row],[PARTNER PRESENCE SCORE]],Table1[[#This Row],[''Neglected'' LOCATION SCORE (REACHED)]])</f>
        <v>5</v>
      </c>
      <c r="Y181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1" s="13" cm="1">
        <f t="array" ref="Z181">_xlfn.XLOOKUP(Table1[[#This Row],[2026 - Final Severity of Needs]]&amp;Table1[[#This Row],[Priority]],'2. Lookup'!A:A&amp;'2. Lookup'!B:B,'2. Lookup'!C:C,0)</f>
        <v>0.2</v>
      </c>
      <c r="AA181" s="49">
        <f>Table1[[#This Row],[Target Coverage]]*Table1[[#This Row],[2026 - PiN]]</f>
        <v>4770.8</v>
      </c>
      <c r="AB181" s="49">
        <f>IFERROR(Table1[[#This Row],[Target Coverage]]*Table1[[#This Row],[ IDPs ]],0)</f>
        <v>3603.6000000000004</v>
      </c>
      <c r="AC181" s="49">
        <f>IFERROR(Table1[[#This Row],[Target Coverage]]*Table1[[#This Row],[ Returnees ]],0)</f>
        <v>0</v>
      </c>
      <c r="AD181" s="49">
        <f>IFERROR(Table1[[#This Row],[Target Coverage]]*Table1[[#This Row],[ Refugees in Sudan ]],0)</f>
        <v>1167.2</v>
      </c>
    </row>
    <row r="182" spans="1:30" x14ac:dyDescent="0.25">
      <c r="A182" s="3" t="s">
        <v>370</v>
      </c>
      <c r="B182" s="3" t="s">
        <v>381</v>
      </c>
      <c r="C182" s="3" t="s">
        <v>382</v>
      </c>
      <c r="D182" s="4">
        <v>37586</v>
      </c>
      <c r="E182" s="3" t="s">
        <v>23</v>
      </c>
      <c r="F182" s="4">
        <v>1837</v>
      </c>
      <c r="G182" s="4">
        <f>SUM(Table1[[#This Row],[ IDPs ]:[ Refugees in Sudan ]])</f>
        <v>39423</v>
      </c>
      <c r="H182" s="29">
        <v>4</v>
      </c>
      <c r="I182" s="4">
        <v>59481</v>
      </c>
      <c r="J182" s="4" t="s">
        <v>411</v>
      </c>
      <c r="K182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2" s="4"/>
      <c r="M182" s="4"/>
      <c r="N182" s="4"/>
      <c r="O182" s="4"/>
      <c r="P182" s="4">
        <f>MAX(Table1[[#This Row],['#Protection Partners]:['# MA Partners]])</f>
        <v>0</v>
      </c>
      <c r="Q182" s="35">
        <f>IF(Table1[[#This Row],[OVERALL PARTNERS]]&lt;=0,1,IF(Table1[[#This Row],[OVERALL PARTNERS]]&lt;6,0.5,IF(Table1[[#This Row],[OVERALL PARTNERS]]&lt;10,0,0)))</f>
        <v>1</v>
      </c>
      <c r="R182" s="4"/>
      <c r="S182" s="4"/>
      <c r="T182" s="4"/>
      <c r="U182" s="4"/>
      <c r="V182" s="13">
        <f>MAX(Table1[[#This Row],[People Reached Protection]:[People Reached MA]])/Table1[[#This Row],[2025 - Targets]]</f>
        <v>0</v>
      </c>
      <c r="W182" s="34">
        <f>IF(Table1[[#This Row],[OVERALL REACHED]]&gt;50%,0,IF(Table1[[#This Row],[OVERALL REACHED]]&gt;0%,1,2))</f>
        <v>2</v>
      </c>
      <c r="X182" s="37">
        <f>SUM(Table1[[#This Row],[ACCESS SCORE]],Table1[[#This Row],[PARTNER PRESENCE SCORE]],Table1[[#This Row],[''Neglected'' LOCATION SCORE (REACHED)]])</f>
        <v>5</v>
      </c>
      <c r="Y182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2" s="13" cm="1">
        <f t="array" ref="Z182">_xlfn.XLOOKUP(Table1[[#This Row],[2026 - Final Severity of Needs]]&amp;Table1[[#This Row],[Priority]],'2. Lookup'!A:A&amp;'2. Lookup'!B:B,'2. Lookup'!C:C,0)</f>
        <v>0.2</v>
      </c>
      <c r="AA182" s="49">
        <f>Table1[[#This Row],[Target Coverage]]*Table1[[#This Row],[2026 - PiN]]</f>
        <v>7884.6</v>
      </c>
      <c r="AB182" s="49">
        <f>IFERROR(Table1[[#This Row],[Target Coverage]]*Table1[[#This Row],[ IDPs ]],0)</f>
        <v>7517.2000000000007</v>
      </c>
      <c r="AC182" s="49">
        <f>IFERROR(Table1[[#This Row],[Target Coverage]]*Table1[[#This Row],[ Returnees ]],0)</f>
        <v>0</v>
      </c>
      <c r="AD182" s="49">
        <f>IFERROR(Table1[[#This Row],[Target Coverage]]*Table1[[#This Row],[ Refugees in Sudan ]],0)</f>
        <v>367.40000000000003</v>
      </c>
    </row>
    <row r="183" spans="1:30" x14ac:dyDescent="0.25">
      <c r="A183" s="1" t="s">
        <v>370</v>
      </c>
      <c r="B183" s="1" t="s">
        <v>383</v>
      </c>
      <c r="C183" s="1" t="s">
        <v>384</v>
      </c>
      <c r="D183" s="2">
        <v>22413</v>
      </c>
      <c r="E183" s="1" t="s">
        <v>23</v>
      </c>
      <c r="F183" s="2">
        <v>1223</v>
      </c>
      <c r="G183" s="2">
        <f>SUM(Table1[[#This Row],[ IDPs ]:[ Refugees in Sudan ]])</f>
        <v>23636</v>
      </c>
      <c r="H183" s="30">
        <v>3</v>
      </c>
      <c r="I183" s="2">
        <v>9815</v>
      </c>
      <c r="J183" s="4" t="s">
        <v>411</v>
      </c>
      <c r="K183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3" s="4"/>
      <c r="M183" s="4"/>
      <c r="N183" s="4"/>
      <c r="O183" s="4"/>
      <c r="P183" s="4">
        <f>MAX(Table1[[#This Row],['#Protection Partners]:['# MA Partners]])</f>
        <v>0</v>
      </c>
      <c r="Q183" s="35">
        <f>IF(Table1[[#This Row],[OVERALL PARTNERS]]&lt;=0,1,IF(Table1[[#This Row],[OVERALL PARTNERS]]&lt;6,0.5,IF(Table1[[#This Row],[OVERALL PARTNERS]]&lt;10,0,0)))</f>
        <v>1</v>
      </c>
      <c r="R183" s="4"/>
      <c r="S183" s="4"/>
      <c r="T183" s="4"/>
      <c r="U183" s="4"/>
      <c r="V183" s="13">
        <f>MAX(Table1[[#This Row],[People Reached Protection]:[People Reached MA]])/Table1[[#This Row],[2025 - Targets]]</f>
        <v>0</v>
      </c>
      <c r="W183" s="34">
        <f>IF(Table1[[#This Row],[OVERALL REACHED]]&gt;50%,0,IF(Table1[[#This Row],[OVERALL REACHED]]&gt;0%,1,2))</f>
        <v>2</v>
      </c>
      <c r="X183" s="37">
        <f>SUM(Table1[[#This Row],[ACCESS SCORE]],Table1[[#This Row],[PARTNER PRESENCE SCORE]],Table1[[#This Row],[''Neglected'' LOCATION SCORE (REACHED)]])</f>
        <v>5</v>
      </c>
      <c r="Y183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3" s="13" cm="1">
        <f t="array" ref="Z183">_xlfn.XLOOKUP(Table1[[#This Row],[2026 - Final Severity of Needs]]&amp;Table1[[#This Row],[Priority]],'2. Lookup'!A:A&amp;'2. Lookup'!B:B,'2. Lookup'!C:C,0)</f>
        <v>0.1</v>
      </c>
      <c r="AA183" s="49">
        <f>Table1[[#This Row],[Target Coverage]]*Table1[[#This Row],[2026 - PiN]]</f>
        <v>2363.6</v>
      </c>
      <c r="AB183" s="49">
        <f>IFERROR(Table1[[#This Row],[Target Coverage]]*Table1[[#This Row],[ IDPs ]],0)</f>
        <v>2241.3000000000002</v>
      </c>
      <c r="AC183" s="49">
        <f>IFERROR(Table1[[#This Row],[Target Coverage]]*Table1[[#This Row],[ Returnees ]],0)</f>
        <v>0</v>
      </c>
      <c r="AD183" s="49">
        <f>IFERROR(Table1[[#This Row],[Target Coverage]]*Table1[[#This Row],[ Refugees in Sudan ]],0)</f>
        <v>122.30000000000001</v>
      </c>
    </row>
    <row r="184" spans="1:30" x14ac:dyDescent="0.25">
      <c r="A184" s="3" t="s">
        <v>370</v>
      </c>
      <c r="B184" s="3" t="s">
        <v>385</v>
      </c>
      <c r="C184" s="3" t="s">
        <v>386</v>
      </c>
      <c r="D184" s="4">
        <v>10992</v>
      </c>
      <c r="E184" s="3" t="s">
        <v>23</v>
      </c>
      <c r="F184" s="3" t="s">
        <v>24</v>
      </c>
      <c r="G184" s="4">
        <f>SUM(Table1[[#This Row],[ IDPs ]:[ Refugees in Sudan ]])</f>
        <v>10992</v>
      </c>
      <c r="H184" s="29">
        <v>4</v>
      </c>
      <c r="I184" s="4">
        <v>35720</v>
      </c>
      <c r="J184" s="4" t="s">
        <v>411</v>
      </c>
      <c r="K184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4" s="4"/>
      <c r="M184" s="4"/>
      <c r="N184" s="4"/>
      <c r="O184" s="4"/>
      <c r="P184" s="4">
        <f>MAX(Table1[[#This Row],['#Protection Partners]:['# MA Partners]])</f>
        <v>0</v>
      </c>
      <c r="Q184" s="35">
        <f>IF(Table1[[#This Row],[OVERALL PARTNERS]]&lt;=0,1,IF(Table1[[#This Row],[OVERALL PARTNERS]]&lt;6,0.5,IF(Table1[[#This Row],[OVERALL PARTNERS]]&lt;10,0,0)))</f>
        <v>1</v>
      </c>
      <c r="R184" s="4"/>
      <c r="S184" s="4"/>
      <c r="T184" s="4"/>
      <c r="U184" s="4"/>
      <c r="V184" s="13">
        <f>MAX(Table1[[#This Row],[People Reached Protection]:[People Reached MA]])/Table1[[#This Row],[2025 - Targets]]</f>
        <v>0</v>
      </c>
      <c r="W184" s="34">
        <f>IF(Table1[[#This Row],[OVERALL REACHED]]&gt;50%,0,IF(Table1[[#This Row],[OVERALL REACHED]]&gt;0%,1,2))</f>
        <v>2</v>
      </c>
      <c r="X184" s="37">
        <f>SUM(Table1[[#This Row],[ACCESS SCORE]],Table1[[#This Row],[PARTNER PRESENCE SCORE]],Table1[[#This Row],[''Neglected'' LOCATION SCORE (REACHED)]])</f>
        <v>5</v>
      </c>
      <c r="Y184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4" s="13" cm="1">
        <f t="array" ref="Z184">_xlfn.XLOOKUP(Table1[[#This Row],[2026 - Final Severity of Needs]]&amp;Table1[[#This Row],[Priority]],'2. Lookup'!A:A&amp;'2. Lookup'!B:B,'2. Lookup'!C:C,0)</f>
        <v>0.2</v>
      </c>
      <c r="AA184" s="49">
        <f>Table1[[#This Row],[Target Coverage]]*Table1[[#This Row],[2026 - PiN]]</f>
        <v>2198.4</v>
      </c>
      <c r="AB184" s="49">
        <f>IFERROR(Table1[[#This Row],[Target Coverage]]*Table1[[#This Row],[ IDPs ]],0)</f>
        <v>2198.4</v>
      </c>
      <c r="AC184" s="49">
        <f>IFERROR(Table1[[#This Row],[Target Coverage]]*Table1[[#This Row],[ Returnees ]],0)</f>
        <v>0</v>
      </c>
      <c r="AD184" s="49">
        <f>IFERROR(Table1[[#This Row],[Target Coverage]]*Table1[[#This Row],[ Refugees in Sudan ]],0)</f>
        <v>0</v>
      </c>
    </row>
    <row r="185" spans="1:30" x14ac:dyDescent="0.25">
      <c r="A185" s="1" t="s">
        <v>370</v>
      </c>
      <c r="B185" s="1" t="s">
        <v>387</v>
      </c>
      <c r="C185" s="1" t="s">
        <v>388</v>
      </c>
      <c r="D185" s="2">
        <v>27721</v>
      </c>
      <c r="E185" s="1" t="s">
        <v>23</v>
      </c>
      <c r="F185" s="2">
        <v>3288</v>
      </c>
      <c r="G185" s="2">
        <f>SUM(Table1[[#This Row],[ IDPs ]:[ Refugees in Sudan ]])</f>
        <v>31009</v>
      </c>
      <c r="H185" s="30">
        <v>3</v>
      </c>
      <c r="I185" s="2">
        <v>37928</v>
      </c>
      <c r="J185" s="4" t="s">
        <v>411</v>
      </c>
      <c r="K185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5" s="4"/>
      <c r="M185" s="4"/>
      <c r="N185" s="4"/>
      <c r="O185" s="4"/>
      <c r="P185" s="4">
        <f>MAX(Table1[[#This Row],['#Protection Partners]:['# MA Partners]])</f>
        <v>0</v>
      </c>
      <c r="Q185" s="35">
        <f>IF(Table1[[#This Row],[OVERALL PARTNERS]]&lt;=0,1,IF(Table1[[#This Row],[OVERALL PARTNERS]]&lt;6,0.5,IF(Table1[[#This Row],[OVERALL PARTNERS]]&lt;10,0,0)))</f>
        <v>1</v>
      </c>
      <c r="R185" s="4"/>
      <c r="S185" s="4"/>
      <c r="T185" s="4"/>
      <c r="U185" s="4"/>
      <c r="V185" s="13">
        <f>MAX(Table1[[#This Row],[People Reached Protection]:[People Reached MA]])/Table1[[#This Row],[2025 - Targets]]</f>
        <v>0</v>
      </c>
      <c r="W185" s="34">
        <f>IF(Table1[[#This Row],[OVERALL REACHED]]&gt;50%,0,IF(Table1[[#This Row],[OVERALL REACHED]]&gt;0%,1,2))</f>
        <v>2</v>
      </c>
      <c r="X185" s="37">
        <f>SUM(Table1[[#This Row],[ACCESS SCORE]],Table1[[#This Row],[PARTNER PRESENCE SCORE]],Table1[[#This Row],[''Neglected'' LOCATION SCORE (REACHED)]])</f>
        <v>5</v>
      </c>
      <c r="Y185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5" s="13" cm="1">
        <f t="array" ref="Z185">_xlfn.XLOOKUP(Table1[[#This Row],[2026 - Final Severity of Needs]]&amp;Table1[[#This Row],[Priority]],'2. Lookup'!A:A&amp;'2. Lookup'!B:B,'2. Lookup'!C:C,0)</f>
        <v>0.1</v>
      </c>
      <c r="AA185" s="49">
        <f>Table1[[#This Row],[Target Coverage]]*Table1[[#This Row],[2026 - PiN]]</f>
        <v>3100.9</v>
      </c>
      <c r="AB185" s="49">
        <f>IFERROR(Table1[[#This Row],[Target Coverage]]*Table1[[#This Row],[ IDPs ]],0)</f>
        <v>2772.1000000000004</v>
      </c>
      <c r="AC185" s="49">
        <f>IFERROR(Table1[[#This Row],[Target Coverage]]*Table1[[#This Row],[ Returnees ]],0)</f>
        <v>0</v>
      </c>
      <c r="AD185" s="49">
        <f>IFERROR(Table1[[#This Row],[Target Coverage]]*Table1[[#This Row],[ Refugees in Sudan ]],0)</f>
        <v>328.8</v>
      </c>
    </row>
    <row r="186" spans="1:30" x14ac:dyDescent="0.25">
      <c r="A186" s="3" t="s">
        <v>370</v>
      </c>
      <c r="B186" s="3" t="s">
        <v>389</v>
      </c>
      <c r="C186" s="3" t="s">
        <v>390</v>
      </c>
      <c r="D186" s="4">
        <v>22058</v>
      </c>
      <c r="E186" s="3" t="s">
        <v>23</v>
      </c>
      <c r="F186" s="3">
        <v>2</v>
      </c>
      <c r="G186" s="4">
        <f>SUM(Table1[[#This Row],[ IDPs ]:[ Refugees in Sudan ]])</f>
        <v>22060</v>
      </c>
      <c r="H186" s="29">
        <v>4</v>
      </c>
      <c r="I186" s="4">
        <v>39556</v>
      </c>
      <c r="J186" s="4" t="s">
        <v>411</v>
      </c>
      <c r="K186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6" s="4"/>
      <c r="M186" s="4"/>
      <c r="N186" s="4"/>
      <c r="O186" s="4"/>
      <c r="P186" s="4">
        <f>MAX(Table1[[#This Row],['#Protection Partners]:['# MA Partners]])</f>
        <v>0</v>
      </c>
      <c r="Q186" s="35">
        <f>IF(Table1[[#This Row],[OVERALL PARTNERS]]&lt;=0,1,IF(Table1[[#This Row],[OVERALL PARTNERS]]&lt;6,0.5,IF(Table1[[#This Row],[OVERALL PARTNERS]]&lt;10,0,0)))</f>
        <v>1</v>
      </c>
      <c r="R186" s="4"/>
      <c r="S186" s="4"/>
      <c r="T186" s="4"/>
      <c r="U186" s="4"/>
      <c r="V186" s="13">
        <f>MAX(Table1[[#This Row],[People Reached Protection]:[People Reached MA]])/Table1[[#This Row],[2025 - Targets]]</f>
        <v>0</v>
      </c>
      <c r="W186" s="34">
        <f>IF(Table1[[#This Row],[OVERALL REACHED]]&gt;50%,0,IF(Table1[[#This Row],[OVERALL REACHED]]&gt;0%,1,2))</f>
        <v>2</v>
      </c>
      <c r="X186" s="37">
        <f>SUM(Table1[[#This Row],[ACCESS SCORE]],Table1[[#This Row],[PARTNER PRESENCE SCORE]],Table1[[#This Row],[''Neglected'' LOCATION SCORE (REACHED)]])</f>
        <v>5</v>
      </c>
      <c r="Y186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6" s="13" cm="1">
        <f t="array" ref="Z186">_xlfn.XLOOKUP(Table1[[#This Row],[2026 - Final Severity of Needs]]&amp;Table1[[#This Row],[Priority]],'2. Lookup'!A:A&amp;'2. Lookup'!B:B,'2. Lookup'!C:C,0)</f>
        <v>0.2</v>
      </c>
      <c r="AA186" s="49">
        <f>Table1[[#This Row],[Target Coverage]]*Table1[[#This Row],[2026 - PiN]]</f>
        <v>4412</v>
      </c>
      <c r="AB186" s="49">
        <f>IFERROR(Table1[[#This Row],[Target Coverage]]*Table1[[#This Row],[ IDPs ]],0)</f>
        <v>4411.6000000000004</v>
      </c>
      <c r="AC186" s="49">
        <f>IFERROR(Table1[[#This Row],[Target Coverage]]*Table1[[#This Row],[ Returnees ]],0)</f>
        <v>0</v>
      </c>
      <c r="AD186" s="49">
        <f>IFERROR(Table1[[#This Row],[Target Coverage]]*Table1[[#This Row],[ Refugees in Sudan ]],0)</f>
        <v>0.4</v>
      </c>
    </row>
    <row r="187" spans="1:30" x14ac:dyDescent="0.25">
      <c r="A187" s="1" t="s">
        <v>370</v>
      </c>
      <c r="B187" s="1" t="s">
        <v>391</v>
      </c>
      <c r="C187" s="1" t="s">
        <v>392</v>
      </c>
      <c r="D187" s="2">
        <v>22541</v>
      </c>
      <c r="E187" s="1" t="s">
        <v>23</v>
      </c>
      <c r="F187" s="1" t="s">
        <v>24</v>
      </c>
      <c r="G187" s="2">
        <f>SUM(Table1[[#This Row],[ IDPs ]:[ Refugees in Sudan ]])</f>
        <v>22541</v>
      </c>
      <c r="H187" s="30">
        <v>3</v>
      </c>
      <c r="I187" s="2">
        <v>34851</v>
      </c>
      <c r="J187" s="4" t="s">
        <v>411</v>
      </c>
      <c r="K187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2</v>
      </c>
      <c r="L187" s="4"/>
      <c r="M187" s="4"/>
      <c r="N187" s="4"/>
      <c r="O187" s="4"/>
      <c r="P187" s="4">
        <f>MAX(Table1[[#This Row],['#Protection Partners]:['# MA Partners]])</f>
        <v>0</v>
      </c>
      <c r="Q187" s="35">
        <f>IF(Table1[[#This Row],[OVERALL PARTNERS]]&lt;=0,1,IF(Table1[[#This Row],[OVERALL PARTNERS]]&lt;6,0.5,IF(Table1[[#This Row],[OVERALL PARTNERS]]&lt;10,0,0)))</f>
        <v>1</v>
      </c>
      <c r="R187" s="4"/>
      <c r="S187" s="4"/>
      <c r="T187" s="4"/>
      <c r="U187" s="4"/>
      <c r="V187" s="13">
        <f>MAX(Table1[[#This Row],[People Reached Protection]:[People Reached MA]])/Table1[[#This Row],[2025 - Targets]]</f>
        <v>0</v>
      </c>
      <c r="W187" s="34">
        <f>IF(Table1[[#This Row],[OVERALL REACHED]]&gt;50%,0,IF(Table1[[#This Row],[OVERALL REACHED]]&gt;0%,1,2))</f>
        <v>2</v>
      </c>
      <c r="X187" s="37">
        <f>SUM(Table1[[#This Row],[ACCESS SCORE]],Table1[[#This Row],[PARTNER PRESENCE SCORE]],Table1[[#This Row],[''Neglected'' LOCATION SCORE (REACHED)]])</f>
        <v>5</v>
      </c>
      <c r="Y187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7" s="13" cm="1">
        <f t="array" ref="Z187">_xlfn.XLOOKUP(Table1[[#This Row],[2026 - Final Severity of Needs]]&amp;Table1[[#This Row],[Priority]],'2. Lookup'!A:A&amp;'2. Lookup'!B:B,'2. Lookup'!C:C,0)</f>
        <v>0.1</v>
      </c>
      <c r="AA187" s="49">
        <f>Table1[[#This Row],[Target Coverage]]*Table1[[#This Row],[2026 - PiN]]</f>
        <v>2254.1</v>
      </c>
      <c r="AB187" s="49">
        <f>IFERROR(Table1[[#This Row],[Target Coverage]]*Table1[[#This Row],[ IDPs ]],0)</f>
        <v>2254.1</v>
      </c>
      <c r="AC187" s="49">
        <f>IFERROR(Table1[[#This Row],[Target Coverage]]*Table1[[#This Row],[ Returnees ]],0)</f>
        <v>0</v>
      </c>
      <c r="AD187" s="49">
        <f>IFERROR(Table1[[#This Row],[Target Coverage]]*Table1[[#This Row],[ Refugees in Sudan ]],0)</f>
        <v>0</v>
      </c>
    </row>
    <row r="188" spans="1:30" x14ac:dyDescent="0.25">
      <c r="A188" s="3" t="s">
        <v>370</v>
      </c>
      <c r="B188" s="3" t="s">
        <v>393</v>
      </c>
      <c r="C188" s="3" t="s">
        <v>394</v>
      </c>
      <c r="D188" s="4">
        <v>66070</v>
      </c>
      <c r="E188" s="3" t="s">
        <v>23</v>
      </c>
      <c r="F188" s="4">
        <v>2191</v>
      </c>
      <c r="G188" s="4">
        <f>SUM(Table1[[#This Row],[ IDPs ]:[ Refugees in Sudan ]])</f>
        <v>68261</v>
      </c>
      <c r="H188" s="29">
        <v>4</v>
      </c>
      <c r="I188" s="4">
        <v>128137</v>
      </c>
      <c r="J188" s="4" t="s">
        <v>414</v>
      </c>
      <c r="K188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88" s="4"/>
      <c r="M188" s="4"/>
      <c r="N188" s="4"/>
      <c r="O188" s="4"/>
      <c r="P188" s="4">
        <f>MAX(Table1[[#This Row],['#Protection Partners]:['# MA Partners]])</f>
        <v>0</v>
      </c>
      <c r="Q188" s="35">
        <f>IF(Table1[[#This Row],[OVERALL PARTNERS]]&lt;=0,1,IF(Table1[[#This Row],[OVERALL PARTNERS]]&lt;6,0.5,IF(Table1[[#This Row],[OVERALL PARTNERS]]&lt;10,0,0)))</f>
        <v>1</v>
      </c>
      <c r="R188" s="4"/>
      <c r="S188" s="4"/>
      <c r="T188" s="4"/>
      <c r="U188" s="4"/>
      <c r="V188" s="13">
        <f>MAX(Table1[[#This Row],[People Reached Protection]:[People Reached MA]])/Table1[[#This Row],[2025 - Targets]]</f>
        <v>0</v>
      </c>
      <c r="W188" s="34">
        <f>IF(Table1[[#This Row],[OVERALL REACHED]]&gt;50%,0,IF(Table1[[#This Row],[OVERALL REACHED]]&gt;0%,1,2))</f>
        <v>2</v>
      </c>
      <c r="X188" s="37">
        <f>SUM(Table1[[#This Row],[ACCESS SCORE]],Table1[[#This Row],[PARTNER PRESENCE SCORE]],Table1[[#This Row],[''Neglected'' LOCATION SCORE (REACHED)]])</f>
        <v>4</v>
      </c>
      <c r="Y188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8" s="13" cm="1">
        <f t="array" ref="Z188">_xlfn.XLOOKUP(Table1[[#This Row],[2026 - Final Severity of Needs]]&amp;Table1[[#This Row],[Priority]],'2. Lookup'!A:A&amp;'2. Lookup'!B:B,'2. Lookup'!C:C,0)</f>
        <v>0.2</v>
      </c>
      <c r="AA188" s="49">
        <f>Table1[[#This Row],[Target Coverage]]*Table1[[#This Row],[2026 - PiN]]</f>
        <v>13652.2</v>
      </c>
      <c r="AB188" s="49">
        <f>IFERROR(Table1[[#This Row],[Target Coverage]]*Table1[[#This Row],[ IDPs ]],0)</f>
        <v>13214</v>
      </c>
      <c r="AC188" s="49">
        <f>IFERROR(Table1[[#This Row],[Target Coverage]]*Table1[[#This Row],[ Returnees ]],0)</f>
        <v>0</v>
      </c>
      <c r="AD188" s="49">
        <f>IFERROR(Table1[[#This Row],[Target Coverage]]*Table1[[#This Row],[ Refugees in Sudan ]],0)</f>
        <v>438.20000000000005</v>
      </c>
    </row>
    <row r="189" spans="1:30" x14ac:dyDescent="0.25">
      <c r="A189" s="1" t="s">
        <v>370</v>
      </c>
      <c r="B189" s="1" t="s">
        <v>395</v>
      </c>
      <c r="C189" s="1" t="s">
        <v>396</v>
      </c>
      <c r="D189" s="2">
        <v>13654</v>
      </c>
      <c r="E189" s="1" t="s">
        <v>23</v>
      </c>
      <c r="F189" s="1" t="s">
        <v>24</v>
      </c>
      <c r="G189" s="2">
        <f>SUM(Table1[[#This Row],[ IDPs ]:[ Refugees in Sudan ]])</f>
        <v>13654</v>
      </c>
      <c r="H189" s="30">
        <v>4</v>
      </c>
      <c r="I189" s="2">
        <v>24615</v>
      </c>
      <c r="J189" s="4" t="s">
        <v>413</v>
      </c>
      <c r="K189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1</v>
      </c>
      <c r="L189" s="4"/>
      <c r="M189" s="4"/>
      <c r="N189" s="4"/>
      <c r="O189" s="4"/>
      <c r="P189" s="4">
        <f>MAX(Table1[[#This Row],['#Protection Partners]:['# MA Partners]])</f>
        <v>0</v>
      </c>
      <c r="Q189" s="35">
        <f>IF(Table1[[#This Row],[OVERALL PARTNERS]]&lt;=0,1,IF(Table1[[#This Row],[OVERALL PARTNERS]]&lt;6,0.5,IF(Table1[[#This Row],[OVERALL PARTNERS]]&lt;10,0,0)))</f>
        <v>1</v>
      </c>
      <c r="R189" s="4"/>
      <c r="S189" s="4"/>
      <c r="T189" s="4"/>
      <c r="U189" s="4"/>
      <c r="V189" s="13">
        <f>MAX(Table1[[#This Row],[People Reached Protection]:[People Reached MA]])/Table1[[#This Row],[2025 - Targets]]</f>
        <v>0</v>
      </c>
      <c r="W189" s="34">
        <f>IF(Table1[[#This Row],[OVERALL REACHED]]&gt;50%,0,IF(Table1[[#This Row],[OVERALL REACHED]]&gt;0%,1,2))</f>
        <v>2</v>
      </c>
      <c r="X189" s="37">
        <f>SUM(Table1[[#This Row],[ACCESS SCORE]],Table1[[#This Row],[PARTNER PRESENCE SCORE]],Table1[[#This Row],[''Neglected'' LOCATION SCORE (REACHED)]])</f>
        <v>4</v>
      </c>
      <c r="Y189" s="29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Low Priority</v>
      </c>
      <c r="Z189" s="13" cm="1">
        <f t="array" ref="Z189">_xlfn.XLOOKUP(Table1[[#This Row],[2026 - Final Severity of Needs]]&amp;Table1[[#This Row],[Priority]],'2. Lookup'!A:A&amp;'2. Lookup'!B:B,'2. Lookup'!C:C,0)</f>
        <v>0.2</v>
      </c>
      <c r="AA189" s="49">
        <f>Table1[[#This Row],[Target Coverage]]*Table1[[#This Row],[2026 - PiN]]</f>
        <v>2730.8</v>
      </c>
      <c r="AB189" s="49">
        <f>IFERROR(Table1[[#This Row],[Target Coverage]]*Table1[[#This Row],[ IDPs ]],0)</f>
        <v>2730.8</v>
      </c>
      <c r="AC189" s="49">
        <f>IFERROR(Table1[[#This Row],[Target Coverage]]*Table1[[#This Row],[ Returnees ]],0)</f>
        <v>0</v>
      </c>
      <c r="AD189" s="49">
        <f>IFERROR(Table1[[#This Row],[Target Coverage]]*Table1[[#This Row],[ Refugees in Sudan ]],0)</f>
        <v>0</v>
      </c>
    </row>
    <row r="190" spans="1:30" x14ac:dyDescent="0.25">
      <c r="A190" s="7" t="s">
        <v>370</v>
      </c>
      <c r="B190" s="7" t="s">
        <v>397</v>
      </c>
      <c r="C190" s="7" t="s">
        <v>398</v>
      </c>
      <c r="D190" s="8">
        <v>10984</v>
      </c>
      <c r="E190" s="7" t="s">
        <v>23</v>
      </c>
      <c r="F190" s="8">
        <v>6979</v>
      </c>
      <c r="G190" s="8">
        <f>SUM(Table1[[#This Row],[ IDPs ]:[ Refugees in Sudan ]])</f>
        <v>17963</v>
      </c>
      <c r="H190" s="32">
        <v>3</v>
      </c>
      <c r="I190" s="8">
        <v>13939</v>
      </c>
      <c r="J190" s="8" t="s">
        <v>410</v>
      </c>
      <c r="K190" s="34">
        <f>IF(Table1[[#This Row],[Access feasability]]="Very High",1,IF(Table1[[#This Row],[Access feasability]]="High",1,IF(Table1[[#This Row],[Access feasability]]="Substantial",2,IF(Table1[[#This Row],[Access feasability]]="Moderate",3,IF(Table1[[#This Row],[Access feasability]]="Low",4,IF(Table1[[#This Row],[Access feasability]]="Very Low",5))))))</f>
        <v>3</v>
      </c>
      <c r="L190" s="8"/>
      <c r="M190" s="8"/>
      <c r="N190" s="8"/>
      <c r="O190" s="8"/>
      <c r="P190" s="8">
        <f>MAX(Table1[[#This Row],['#Protection Partners]:['# MA Partners]])</f>
        <v>0</v>
      </c>
      <c r="Q190" s="36">
        <f>IF(Table1[[#This Row],[OVERALL PARTNERS]]&lt;=0,1,IF(Table1[[#This Row],[OVERALL PARTNERS]]&lt;6,0.5,IF(Table1[[#This Row],[OVERALL PARTNERS]]&lt;10,0,0)))</f>
        <v>1</v>
      </c>
      <c r="R190" s="8"/>
      <c r="S190" s="8"/>
      <c r="T190" s="8"/>
      <c r="U190" s="8"/>
      <c r="V190" s="14">
        <f>MAX(Table1[[#This Row],[People Reached Protection]:[People Reached MA]])/Table1[[#This Row],[2025 - Targets]]</f>
        <v>0</v>
      </c>
      <c r="W190" s="34">
        <f>IF(Table1[[#This Row],[OVERALL REACHED]]&gt;50%,0,IF(Table1[[#This Row],[OVERALL REACHED]]&gt;0%,1,2))</f>
        <v>2</v>
      </c>
      <c r="X190" s="37">
        <f>SUM(Table1[[#This Row],[ACCESS SCORE]],Table1[[#This Row],[PARTNER PRESENCE SCORE]],Table1[[#This Row],[''Neglected'' LOCATION SCORE (REACHED)]])</f>
        <v>6</v>
      </c>
      <c r="Y190" s="32" t="str">
        <f>IF(Table1[[#This Row],[TOTAL SCORE]]&gt;9,"Critical Priority",IF(Table1[[#This Row],[TOTAL SCORE]]&gt;7,"High Priority",IF(Table1[[#This Row],[TOTAL SCORE]]&gt;5,"Medium Priority",IF(Table1[[#This Row],[TOTAL SCORE]]&gt;3,"Low Priority","Very Low Priority"))))</f>
        <v>Medium Priority</v>
      </c>
      <c r="Z190" s="14" cm="1">
        <f t="array" ref="Z190">_xlfn.XLOOKUP(Table1[[#This Row],[2026 - Final Severity of Needs]]&amp;Table1[[#This Row],[Priority]],'2. Lookup'!A:A&amp;'2. Lookup'!B:B,'2. Lookup'!C:C,0)</f>
        <v>0.2</v>
      </c>
      <c r="AA190" s="49">
        <f>Table1[[#This Row],[Target Coverage]]*Table1[[#This Row],[2026 - PiN]]</f>
        <v>3592.6000000000004</v>
      </c>
      <c r="AB190" s="49">
        <f>IFERROR(Table1[[#This Row],[Target Coverage]]*Table1[[#This Row],[ IDPs ]],0)</f>
        <v>2196.8000000000002</v>
      </c>
      <c r="AC190" s="49">
        <f>IFERROR(Table1[[#This Row],[Target Coverage]]*Table1[[#This Row],[ Returnees ]],0)</f>
        <v>0</v>
      </c>
      <c r="AD190" s="49">
        <f>IFERROR(Table1[[#This Row],[Target Coverage]]*Table1[[#This Row],[ Refugees in Sudan ]],0)</f>
        <v>1395.8000000000002</v>
      </c>
    </row>
    <row r="191" spans="1:30" x14ac:dyDescent="0.25">
      <c r="A191" s="7" t="s">
        <v>445</v>
      </c>
      <c r="B191" s="7"/>
      <c r="C191" s="7"/>
      <c r="D191" s="7"/>
      <c r="E191" s="7"/>
      <c r="F191" s="53"/>
      <c r="G191" s="7"/>
      <c r="H191" s="55"/>
      <c r="I191" s="7"/>
      <c r="J191" s="7"/>
      <c r="K191" s="56"/>
      <c r="L191" s="7"/>
      <c r="M191" s="7"/>
      <c r="N191" s="7"/>
      <c r="O191" s="7"/>
      <c r="P191" s="7"/>
      <c r="Q191" s="56"/>
      <c r="R191" s="7"/>
      <c r="S191" s="7"/>
      <c r="T191" s="7"/>
      <c r="U191" s="7"/>
      <c r="V191" s="7"/>
      <c r="W191" s="56"/>
      <c r="X191" s="7"/>
      <c r="Y191" s="55"/>
      <c r="Z191" s="7"/>
      <c r="AA191" s="57">
        <f>SUBTOTAL(109,Table1[Target Caseload])</f>
        <v>3514003.0999999992</v>
      </c>
      <c r="AB191" s="58">
        <f>SUBTOTAL(109,Table1[Target - IDPs])</f>
        <v>2806791.0999999987</v>
      </c>
      <c r="AC191" s="57">
        <f>SUBTOTAL(109,Table1[ Target - Returnees])</f>
        <v>458731.2</v>
      </c>
      <c r="AD191" s="57">
        <f>SUBTOTAL(109,Table1[ Target - Refugees in Sudan])</f>
        <v>248480.80000000002</v>
      </c>
    </row>
  </sheetData>
  <mergeCells count="6">
    <mergeCell ref="Y1:AD1"/>
    <mergeCell ref="A1:C1"/>
    <mergeCell ref="J1:K1"/>
    <mergeCell ref="L1:Q1"/>
    <mergeCell ref="R1:W1"/>
    <mergeCell ref="D1:H1"/>
  </mergeCells>
  <phoneticPr fontId="5" type="noConversion"/>
  <conditionalFormatting sqref="B2:B190">
    <cfRule type="duplicateValues" dxfId="5" priority="13"/>
  </conditionalFormatting>
  <conditionalFormatting sqref="H3:H190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:X19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3:Y190">
    <cfRule type="containsText" dxfId="4" priority="4" operator="containsText" text="Very Low Priority">
      <formula>NOT(ISERROR(SEARCH("Very Low Priority",Y3)))</formula>
    </cfRule>
    <cfRule type="containsText" dxfId="3" priority="5" operator="containsText" text="Low Priority">
      <formula>NOT(ISERROR(SEARCH("Low Priority",Y3)))</formula>
    </cfRule>
    <cfRule type="containsText" dxfId="2" priority="6" operator="containsText" text="Medium Priority">
      <formula>NOT(ISERROR(SEARCH("Medium Priority",Y3)))</formula>
    </cfRule>
    <cfRule type="containsText" dxfId="1" priority="7" operator="containsText" text="High Priority">
      <formula>NOT(ISERROR(SEARCH("High Priority",Y3)))</formula>
    </cfRule>
    <cfRule type="containsText" dxfId="0" priority="8" operator="containsText" text="Critical Priority">
      <formula>NOT(ISERROR(SEARCH("Critical Priority",Y3)))</formula>
    </cfRule>
  </conditionalFormatting>
  <conditionalFormatting sqref="Z3:Z19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:AA190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99386-AC3E-481A-B831-3EF9BED1EB97}">
  <sheetPr>
    <tabColor rgb="FFC00000"/>
  </sheetPr>
  <dimension ref="A1:C18"/>
  <sheetViews>
    <sheetView workbookViewId="0">
      <selection activeCell="A28" sqref="A28"/>
    </sheetView>
  </sheetViews>
  <sheetFormatPr defaultRowHeight="15" x14ac:dyDescent="0.25"/>
  <cols>
    <col min="1" max="1" width="23.5703125" customWidth="1"/>
    <col min="2" max="2" width="22.7109375" customWidth="1"/>
    <col min="3" max="3" width="31.85546875" customWidth="1"/>
  </cols>
  <sheetData>
    <row r="1" spans="1:3" x14ac:dyDescent="0.25">
      <c r="A1" s="17" t="s">
        <v>430</v>
      </c>
    </row>
    <row r="3" spans="1:3" x14ac:dyDescent="0.25">
      <c r="A3" s="38" t="s">
        <v>407</v>
      </c>
      <c r="B3" s="38" t="s">
        <v>406</v>
      </c>
      <c r="C3" s="38" t="s">
        <v>437</v>
      </c>
    </row>
    <row r="4" spans="1:3" x14ac:dyDescent="0.25">
      <c r="A4" s="45">
        <v>5</v>
      </c>
      <c r="B4" s="40" t="s">
        <v>424</v>
      </c>
      <c r="C4" s="39">
        <v>1</v>
      </c>
    </row>
    <row r="5" spans="1:3" x14ac:dyDescent="0.25">
      <c r="A5" s="45">
        <v>5</v>
      </c>
      <c r="B5" s="41" t="s">
        <v>425</v>
      </c>
      <c r="C5" s="39">
        <v>0.8</v>
      </c>
    </row>
    <row r="6" spans="1:3" x14ac:dyDescent="0.25">
      <c r="A6" s="45">
        <v>5</v>
      </c>
      <c r="B6" s="42" t="s">
        <v>426</v>
      </c>
      <c r="C6" s="39">
        <v>0.6</v>
      </c>
    </row>
    <row r="7" spans="1:3" x14ac:dyDescent="0.25">
      <c r="A7" s="45">
        <v>5</v>
      </c>
      <c r="B7" s="43" t="s">
        <v>427</v>
      </c>
      <c r="C7" s="39">
        <v>0.4</v>
      </c>
    </row>
    <row r="8" spans="1:3" x14ac:dyDescent="0.25">
      <c r="A8" s="45">
        <v>5</v>
      </c>
      <c r="B8" s="44" t="s">
        <v>428</v>
      </c>
      <c r="C8" s="39">
        <v>0.2</v>
      </c>
    </row>
    <row r="9" spans="1:3" x14ac:dyDescent="0.25">
      <c r="A9" s="46">
        <v>4</v>
      </c>
      <c r="B9" s="40" t="s">
        <v>424</v>
      </c>
      <c r="C9" s="39">
        <v>0.8</v>
      </c>
    </row>
    <row r="10" spans="1:3" x14ac:dyDescent="0.25">
      <c r="A10" s="46">
        <v>4</v>
      </c>
      <c r="B10" s="41" t="s">
        <v>425</v>
      </c>
      <c r="C10" s="39">
        <v>0.6</v>
      </c>
    </row>
    <row r="11" spans="1:3" x14ac:dyDescent="0.25">
      <c r="A11" s="46">
        <v>4</v>
      </c>
      <c r="B11" s="42" t="s">
        <v>426</v>
      </c>
      <c r="C11" s="39">
        <v>0.4</v>
      </c>
    </row>
    <row r="12" spans="1:3" x14ac:dyDescent="0.25">
      <c r="A12" s="46">
        <v>4</v>
      </c>
      <c r="B12" s="43" t="s">
        <v>427</v>
      </c>
      <c r="C12" s="39">
        <v>0.2</v>
      </c>
    </row>
    <row r="13" spans="1:3" x14ac:dyDescent="0.25">
      <c r="A13" s="46">
        <v>4</v>
      </c>
      <c r="B13" s="44" t="s">
        <v>428</v>
      </c>
      <c r="C13" s="39">
        <v>0.1</v>
      </c>
    </row>
    <row r="14" spans="1:3" x14ac:dyDescent="0.25">
      <c r="A14" s="47">
        <v>3</v>
      </c>
      <c r="B14" s="40" t="s">
        <v>424</v>
      </c>
      <c r="C14" s="39">
        <v>0.6</v>
      </c>
    </row>
    <row r="15" spans="1:3" x14ac:dyDescent="0.25">
      <c r="A15" s="47">
        <v>3</v>
      </c>
      <c r="B15" s="41" t="s">
        <v>425</v>
      </c>
      <c r="C15" s="39">
        <v>0.4</v>
      </c>
    </row>
    <row r="16" spans="1:3" x14ac:dyDescent="0.25">
      <c r="A16" s="47">
        <v>3</v>
      </c>
      <c r="B16" s="42" t="s">
        <v>426</v>
      </c>
      <c r="C16" s="39">
        <v>0.2</v>
      </c>
    </row>
    <row r="17" spans="1:3" x14ac:dyDescent="0.25">
      <c r="A17" s="47">
        <v>3</v>
      </c>
      <c r="B17" s="43" t="s">
        <v>427</v>
      </c>
      <c r="C17" s="39">
        <v>0.1</v>
      </c>
    </row>
    <row r="18" spans="1:3" x14ac:dyDescent="0.25">
      <c r="A18" s="47">
        <v>3</v>
      </c>
      <c r="B18" s="44" t="s">
        <v>428</v>
      </c>
      <c r="C18" s="39">
        <v>0.05</v>
      </c>
    </row>
  </sheetData>
  <conditionalFormatting sqref="C4:C1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 Matrix</vt:lpstr>
      <vt:lpstr>2. 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Protection Cluster Target Template</dc:title>
  <dc:creator>kashif rehman</dc:creator>
  <cp:keywords>target;prioritization matrix</cp:keywords>
  <cp:lastModifiedBy>Kashif Rehman</cp:lastModifiedBy>
  <dcterms:created xsi:type="dcterms:W3CDTF">2025-09-25T08:56:25Z</dcterms:created>
  <dcterms:modified xsi:type="dcterms:W3CDTF">2026-06-29T11:15:11Z</dcterms:modified>
</cp:coreProperties>
</file>